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ch\d\Мои документы\2019 г\1 Бюджет округа 2019-2021\6 Годовой отчет 2019\Отчет в СД за 2019 год\Проект решения об исполнении бюджета за 2019 год\"/>
    </mc:Choice>
  </mc:AlternateContent>
  <xr:revisionPtr revIDLastSave="0" documentId="13_ncr:1_{86D8AA35-8B34-4D2F-AD7E-B8BB5D3B7031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2019" sheetId="2" r:id="rId1"/>
  </sheets>
  <definedNames>
    <definedName name="_xlnm._FilterDatabase" localSheetId="0" hidden="1">'2019'!$A$14:$H$2356</definedName>
    <definedName name="Z_01A7873C_D541_4649_8BBD_3EB5FC7C8EC5_.wvu.Cols" localSheetId="0" hidden="1">'2019'!#REF!</definedName>
    <definedName name="Z_01A7873C_D541_4649_8BBD_3EB5FC7C8EC5_.wvu.FilterData" localSheetId="0" hidden="1">'2019'!$A$14:$H$2356</definedName>
    <definedName name="Z_01A7873C_D541_4649_8BBD_3EB5FC7C8EC5_.wvu.PrintArea" localSheetId="0" hidden="1">'2019'!$A$4:$H$2355</definedName>
    <definedName name="Z_01A7873C_D541_4649_8BBD_3EB5FC7C8EC5_.wvu.Rows" localSheetId="0" hidden="1">'2019'!$5:$13</definedName>
    <definedName name="Z_0D82712A_287F_46D9_9BE8_A9EE1C37F149_.wvu.FilterData" localSheetId="0" hidden="1">'2019'!$A$14:$H$2352</definedName>
    <definedName name="Z_122E1301_334D_4BB4_85C9_E4EC87B68D16_.wvu.FilterData" localSheetId="0" hidden="1">'2019'!$A$14:$H$2352</definedName>
    <definedName name="Z_188C5953_28B4_4740_8334_673DC4D63A13_.wvu.Cols" localSheetId="0" hidden="1">'2019'!#REF!</definedName>
    <definedName name="Z_188C5953_28B4_4740_8334_673DC4D63A13_.wvu.FilterData" localSheetId="0" hidden="1">'2019'!$A$14:$H$2352</definedName>
    <definedName name="Z_188C5953_28B4_4740_8334_673DC4D63A13_.wvu.PrintArea" localSheetId="0" hidden="1">'2019'!$A$4:$H$2355</definedName>
    <definedName name="Z_188C5953_28B4_4740_8334_673DC4D63A13_.wvu.Rows" localSheetId="0" hidden="1">'2019'!$5:$13</definedName>
    <definedName name="Z_1AA6BCFF_24E4_4BE0_BD12_8407ED0328EB_.wvu.FilterData" localSheetId="0" hidden="1">'2019'!$A$14:$H$2352</definedName>
    <definedName name="Z_268840E3_FEC3_4507_AC0D_86443C3F543F_.wvu.FilterData" localSheetId="0" hidden="1">'2019'!$A$14:$H$2352</definedName>
    <definedName name="Z_425CBCF6_9F67_4BFC_9889_B4CF5F9DB7E2_.wvu.Cols" localSheetId="0" hidden="1">'2019'!#REF!</definedName>
    <definedName name="Z_425CBCF6_9F67_4BFC_9889_B4CF5F9DB7E2_.wvu.FilterData" localSheetId="0" hidden="1">'2019'!$A$14:$H$2352</definedName>
    <definedName name="Z_425CBCF6_9F67_4BFC_9889_B4CF5F9DB7E2_.wvu.PrintArea" localSheetId="0" hidden="1">'2019'!$A$4:$H$2355</definedName>
    <definedName name="Z_425CBCF6_9F67_4BFC_9889_B4CF5F9DB7E2_.wvu.Rows" localSheetId="0" hidden="1">'2019'!$5:$13</definedName>
    <definedName name="Z_46CBDAD9_E671_478E_B258_792986D58CEE_.wvu.FilterData" localSheetId="0" hidden="1">'2019'!$A$14:$H$2352</definedName>
    <definedName name="Z_4B5A5280_6925_4160_B93E_295E3CE4A484_.wvu.FilterData" localSheetId="0" hidden="1">'2019'!$A$14:$H$2352</definedName>
    <definedName name="Z_4FC0545B_5AF3_4A63_A669_FAFE92A1ED55_.wvu.Cols" localSheetId="0" hidden="1">'2019'!#REF!,'2019'!#REF!</definedName>
    <definedName name="Z_4FC0545B_5AF3_4A63_A669_FAFE92A1ED55_.wvu.FilterData" localSheetId="0" hidden="1">'2019'!$A$14:$H$2352</definedName>
    <definedName name="Z_4FC0545B_5AF3_4A63_A669_FAFE92A1ED55_.wvu.PrintArea" localSheetId="0" hidden="1">'2019'!$A$4:$H$2355</definedName>
    <definedName name="Z_4FC0545B_5AF3_4A63_A669_FAFE92A1ED55_.wvu.Rows" localSheetId="0" hidden="1">'2019'!$5:$13</definedName>
    <definedName name="Z_54BE171B_0496_43FE_82F5_99B7869120F9_.wvu.Cols" localSheetId="0" hidden="1">'2019'!#REF!</definedName>
    <definedName name="Z_54BE171B_0496_43FE_82F5_99B7869120F9_.wvu.FilterData" localSheetId="0" hidden="1">'2019'!$A$14:$H$2352</definedName>
    <definedName name="Z_54BE171B_0496_43FE_82F5_99B7869120F9_.wvu.PrintArea" localSheetId="0" hidden="1">'2019'!$A$4:$H$2355</definedName>
    <definedName name="Z_54BE171B_0496_43FE_82F5_99B7869120F9_.wvu.Rows" localSheetId="0" hidden="1">'2019'!$5:$13</definedName>
    <definedName name="Z_56FDA626_E41A_4C8B_9A01_3270E26AA34B_.wvu.Cols" localSheetId="0" hidden="1">'2019'!#REF!</definedName>
    <definedName name="Z_56FDA626_E41A_4C8B_9A01_3270E26AA34B_.wvu.FilterData" localSheetId="0" hidden="1">'2019'!$A$14:$H$2352</definedName>
    <definedName name="Z_56FDA626_E41A_4C8B_9A01_3270E26AA34B_.wvu.PrintArea" localSheetId="0" hidden="1">'2019'!$A$4:$H$2355</definedName>
    <definedName name="Z_56FDA626_E41A_4C8B_9A01_3270E26AA34B_.wvu.Rows" localSheetId="0" hidden="1">'2019'!$5:$13</definedName>
    <definedName name="Z_61D95DC9_856D_4108_AAC4_D9CDCF192634_.wvu.FilterData" localSheetId="0" hidden="1">'2019'!$A$14:$H$2352</definedName>
    <definedName name="Z_6D674CAE_FA7A_423A_BC93_5A7BE9753469_.wvu.FilterData" localSheetId="0" hidden="1">'2019'!$A$14:$H$2352</definedName>
    <definedName name="Z_6DF8A715_71B0_4DFB_9998_47F82CC79A37_.wvu.FilterData" localSheetId="0" hidden="1">'2019'!$A$14:$H$2352</definedName>
    <definedName name="Z_72FC0DDD_7C71_48F2_90D4_7776213A134B_.wvu.FilterData" localSheetId="0" hidden="1">'2019'!$A$14:$H$2352</definedName>
    <definedName name="Z_73F53B37_279C_4822_B78F_7D9E829891EA_.wvu.FilterData" localSheetId="0" hidden="1">'2019'!$A$14:$H$2352</definedName>
    <definedName name="Z_74329988_B3A7_477F_9379_9C09487AC740_.wvu.Cols" localSheetId="0" hidden="1">'2019'!#REF!,'2019'!#REF!</definedName>
    <definedName name="Z_74329988_B3A7_477F_9379_9C09487AC740_.wvu.FilterData" localSheetId="0" hidden="1">'2019'!$A$14:$H$2352</definedName>
    <definedName name="Z_74329988_B3A7_477F_9379_9C09487AC740_.wvu.PrintArea" localSheetId="0" hidden="1">'2019'!$A$4:$H$2355</definedName>
    <definedName name="Z_74329988_B3A7_477F_9379_9C09487AC740_.wvu.Rows" localSheetId="0" hidden="1">'2019'!$5:$13</definedName>
    <definedName name="Z_7DBC151D_1942_4A3E_90E4_7676203A2A1F_.wvu.FilterData" localSheetId="0" hidden="1">'2019'!$A$14:$H$2352</definedName>
    <definedName name="Z_8356F29D_F94D_4A73_99C5_E3F5A89E87A9_.wvu.FilterData" localSheetId="0" hidden="1">'2019'!$A$14:$H$2352</definedName>
    <definedName name="Z_974FE9D1_C0CB_429A_A550_1C0E6780FD01_.wvu.FilterData" localSheetId="0" hidden="1">'2019'!$A$14:$H$2352</definedName>
    <definedName name="Z_9CAC89EA_3C87_4ECF_8A59_BAF6F3AD5B63_.wvu.FilterData" localSheetId="0" hidden="1">'2019'!$A$14:$H$2352</definedName>
    <definedName name="Z_9EA8EBB2_AA5B_4897_96E1_DEE346082A26_.wvu.FilterData" localSheetId="0" hidden="1">'2019'!$A$14:$H$2352</definedName>
    <definedName name="Z_A2BF75DD_8F41_4EE5_932E_C11A36B4E2C5_.wvu.Cols" localSheetId="0" hidden="1">'2019'!#REF!</definedName>
    <definedName name="Z_A2BF75DD_8F41_4EE5_932E_C11A36B4E2C5_.wvu.FilterData" localSheetId="0" hidden="1">'2019'!$A$14:$H$2352</definedName>
    <definedName name="Z_A2BF75DD_8F41_4EE5_932E_C11A36B4E2C5_.wvu.PrintArea" localSheetId="0" hidden="1">'2019'!$A$4:$H$2355</definedName>
    <definedName name="Z_A2BF75DD_8F41_4EE5_932E_C11A36B4E2C5_.wvu.Rows" localSheetId="0" hidden="1">'2019'!$5:$13</definedName>
    <definedName name="Z_A71BDBEC_7338_4D9E_96AA_DC0DB924D9FF_.wvu.FilterData" localSheetId="0" hidden="1">'2019'!$A$14:$H$2352</definedName>
    <definedName name="Z_A77F4CAC_EFDD_4D11_A8FE_92CD1BA61441_.wvu.FilterData" localSheetId="0" hidden="1">'2019'!$A$14:$H$2352</definedName>
    <definedName name="Z_B62168BF_6A49_47B1_9036_0B86317F501A_.wvu.FilterData" localSheetId="0" hidden="1">'2019'!$A$14:$H$2352</definedName>
    <definedName name="Z_D414EA55_8CE4_48A3_A584_B8C24C8CACB1_.wvu.FilterData" localSheetId="0" hidden="1">'2019'!$A$14:$H$2352</definedName>
    <definedName name="Z_DCA42C28_B192_4F6B_9A1E_BEB3F66FA741_.wvu.FilterData" localSheetId="0" hidden="1">'2019'!$A$14:$H$2352</definedName>
    <definedName name="Z_E77FAFAD_2105_4B99_890B_05AE0804975D_.wvu.FilterData" localSheetId="0" hidden="1">'2019'!$A$14:$H$2352</definedName>
    <definedName name="Z_E94D2767_FBF1_4D96_9EC3_ABB6EB00445C_.wvu.FilterData" localSheetId="0" hidden="1">'2019'!$A$14:$H$2352</definedName>
    <definedName name="Z_F596FCC4_77E2_4CDA_8BA3_ECD57F628B5B_.wvu.FilterData" localSheetId="0" hidden="1">'2019'!$A$14:$H$2352</definedName>
    <definedName name="Z_F933175B_2962_43F6_91B9_BF1462435CBF_.wvu.FilterData" localSheetId="0" hidden="1">'2019'!$A$14:$H$2352</definedName>
    <definedName name="_xlnm.Print_Area" localSheetId="0">'2019'!$A$1:$H$2355</definedName>
  </definedNames>
  <calcPr calcId="181029"/>
  <customWorkbookViews>
    <customWorkbookView name="Никифорова Ирина Анатольевна - Личное представление" guid="{01A7873C-D541-4649-8BBD-3EB5FC7C8EC5}" mergeInterval="0" personalView="1" maximized="1" xWindow="-4" yWindow="-4" windowWidth="1928" windowHeight="1044" activeSheetId="2"/>
    <customWorkbookView name="Богнова Ирина Владимировна - Личное представление" guid="{188C5953-28B4-4740-8334-673DC4D63A13}" mergeInterval="0" personalView="1" maximized="1" xWindow="-8" yWindow="-8" windowWidth="1936" windowHeight="1056" activeSheetId="2"/>
    <customWorkbookView name="Stepanova - Личное представление" guid="{A2BF75DD-8F41-4EE5-932E-C11A36B4E2C5}" mergeInterval="0" personalView="1" maximized="1" windowWidth="1916" windowHeight="843" activeSheetId="2"/>
    <customWorkbookView name="Darchieva - Личное представление" guid="{4FC0545B-5AF3-4A63-A669-FAFE92A1ED55}" mergeInterval="0" personalView="1" maximized="1" xWindow="-8" yWindow="-8" windowWidth="1936" windowHeight="1056" activeSheetId="2" showComments="commIndAndComment"/>
    <customWorkbookView name="Попов А.В. - Личное представление" guid="{0408D01C-556C-450C-BFDD-44F877C8B243}" mergeInterval="0" personalView="1" maximized="1" xWindow="1" yWindow="1" windowWidth="1858" windowHeight="889" activeSheetId="1"/>
    <customWorkbookView name="Gremina - Личное представление" guid="{56FDA626-E41A-4C8B-9A01-3270E26AA34B}" mergeInterval="0" personalView="1" maximized="1" xWindow="-8" yWindow="-8" windowWidth="1936" windowHeight="1056" activeSheetId="2"/>
    <customWorkbookView name="Чегодаева Анна Александровна - Личное представление" guid="{425CBCF6-9F67-4BFC-9889-B4CF5F9DB7E2}" mergeInterval="0" personalView="1" maximized="1" xWindow="-8" yWindow="-8" windowWidth="1936" windowHeight="1056" activeSheetId="2"/>
    <customWorkbookView name="Дятлова - Личное представление" guid="{54BE171B-0496-43FE-82F5-99B7869120F9}" mergeInterval="0" personalView="1" xWindow="60" yWindow="60" windowWidth="1847" windowHeight="954" activeSheetId="2"/>
    <customWorkbookView name="Ефремова Юлия Юрьевна - Личное представление" guid="{74329988-B3A7-477F-9379-9C09487AC740}" mergeInterval="0" personalView="1" maximized="1" xWindow="-8" yWindow="-8" windowWidth="1936" windowHeight="1056" activeSheetId="2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52" i="2" l="1"/>
  <c r="G1995" i="2" l="1"/>
  <c r="G1063" i="2" l="1"/>
  <c r="G1062" i="2" s="1"/>
  <c r="G1061" i="2" s="1"/>
  <c r="G1059" i="2"/>
  <c r="G1058" i="2" s="1"/>
  <c r="G1057" i="2" s="1"/>
  <c r="G1046" i="2"/>
  <c r="G1045" i="2" s="1"/>
  <c r="G1044" i="2" s="1"/>
  <c r="G951" i="2"/>
  <c r="G950" i="2" s="1"/>
  <c r="G258" i="2" l="1"/>
  <c r="G506" i="2"/>
  <c r="G2275" i="2" l="1"/>
  <c r="G2195" i="2"/>
  <c r="G2194" i="2" s="1"/>
  <c r="G2193" i="2" s="1"/>
  <c r="G1929" i="2" l="1"/>
  <c r="G1928" i="2" s="1"/>
  <c r="G328" i="2" l="1"/>
  <c r="G177" i="2"/>
  <c r="G66" i="2"/>
  <c r="G65" i="2" s="1"/>
  <c r="G2341" i="2" l="1"/>
  <c r="G2340" i="2" s="1"/>
  <c r="G1858" i="2"/>
  <c r="G1857" i="2" s="1"/>
  <c r="G1856" i="2" s="1"/>
  <c r="G525" i="2" l="1"/>
  <c r="G306" i="2"/>
  <c r="G2219" i="2"/>
  <c r="G1824" i="2"/>
  <c r="G1733" i="2"/>
  <c r="F1733" i="2"/>
  <c r="G1152" i="2"/>
  <c r="F1152" i="2"/>
  <c r="G118" i="2"/>
  <c r="G778" i="2"/>
  <c r="G777" i="2" s="1"/>
  <c r="G1126" i="2"/>
  <c r="G1002" i="2"/>
  <c r="G1001" i="2" s="1"/>
  <c r="G1000" i="2" s="1"/>
  <c r="G1006" i="2"/>
  <c r="G1005" i="2" s="1"/>
  <c r="G1004" i="2" s="1"/>
  <c r="G928" i="2"/>
  <c r="G815" i="2"/>
  <c r="G814" i="2" s="1"/>
  <c r="G813" i="2" s="1"/>
  <c r="G686" i="2"/>
  <c r="G682" i="2"/>
  <c r="G681" i="2" s="1"/>
  <c r="G680" i="2" s="1"/>
  <c r="G678" i="2"/>
  <c r="G677" i="2" s="1"/>
  <c r="G676" i="2" s="1"/>
  <c r="H67" i="2"/>
  <c r="H99" i="2"/>
  <c r="H100" i="2"/>
  <c r="H119" i="2"/>
  <c r="H130" i="2"/>
  <c r="H131" i="2"/>
  <c r="H132" i="2"/>
  <c r="H150" i="2"/>
  <c r="H173" i="2"/>
  <c r="H189" i="2"/>
  <c r="H259" i="2"/>
  <c r="H264" i="2"/>
  <c r="H284" i="2"/>
  <c r="H285" i="2"/>
  <c r="H312" i="2"/>
  <c r="H314" i="2"/>
  <c r="H330" i="2"/>
  <c r="H344" i="2"/>
  <c r="H376" i="2"/>
  <c r="H384" i="2"/>
  <c r="H399" i="2"/>
  <c r="H422" i="2"/>
  <c r="H445" i="2"/>
  <c r="H453" i="2"/>
  <c r="H454" i="2"/>
  <c r="H477" i="2"/>
  <c r="H507" i="2"/>
  <c r="H559" i="2"/>
  <c r="H564" i="2"/>
  <c r="H567" i="2"/>
  <c r="H592" i="2"/>
  <c r="H604" i="2"/>
  <c r="H659" i="2"/>
  <c r="H698" i="2"/>
  <c r="H779" i="2"/>
  <c r="H790" i="2"/>
  <c r="H864" i="2"/>
  <c r="H896" i="2"/>
  <c r="H934" i="2"/>
  <c r="H938" i="2"/>
  <c r="H1011" i="2"/>
  <c r="H1047" i="2"/>
  <c r="H1136" i="2"/>
  <c r="H1137" i="2"/>
  <c r="H1153" i="2"/>
  <c r="H1171" i="2"/>
  <c r="H1174" i="2"/>
  <c r="H1225" i="2"/>
  <c r="H1229" i="2"/>
  <c r="H1236" i="2"/>
  <c r="H1242" i="2"/>
  <c r="H1265" i="2"/>
  <c r="H1337" i="2"/>
  <c r="H1360" i="2"/>
  <c r="H1427" i="2"/>
  <c r="H1433" i="2"/>
  <c r="H1444" i="2"/>
  <c r="H1448" i="2"/>
  <c r="H1452" i="2"/>
  <c r="H1469" i="2"/>
  <c r="H1479" i="2"/>
  <c r="H1504" i="2"/>
  <c r="H1509" i="2"/>
  <c r="H1514" i="2"/>
  <c r="H1544" i="2"/>
  <c r="H1556" i="2"/>
  <c r="H1575" i="2"/>
  <c r="H1582" i="2"/>
  <c r="H1591" i="2"/>
  <c r="H1622" i="2"/>
  <c r="H1624" i="2"/>
  <c r="H1631" i="2"/>
  <c r="H1633" i="2"/>
  <c r="H1635" i="2"/>
  <c r="H1644" i="2"/>
  <c r="H1646" i="2"/>
  <c r="H1656" i="2"/>
  <c r="H1664" i="2"/>
  <c r="H1668" i="2"/>
  <c r="H1688" i="2"/>
  <c r="H1691" i="2"/>
  <c r="H1702" i="2"/>
  <c r="H1708" i="2"/>
  <c r="H1734" i="2"/>
  <c r="H1740" i="2"/>
  <c r="H1747" i="2"/>
  <c r="H1761" i="2"/>
  <c r="H1779" i="2"/>
  <c r="H1791" i="2"/>
  <c r="H1793" i="2"/>
  <c r="H1805" i="2"/>
  <c r="H1815" i="2"/>
  <c r="H1817" i="2"/>
  <c r="H1825" i="2"/>
  <c r="H1826" i="2"/>
  <c r="H1830" i="2"/>
  <c r="H1838" i="2"/>
  <c r="H1859" i="2"/>
  <c r="H1863" i="2"/>
  <c r="H1879" i="2"/>
  <c r="H1901" i="2"/>
  <c r="H1907" i="2"/>
  <c r="H1930" i="2"/>
  <c r="H1987" i="2"/>
  <c r="H2038" i="2"/>
  <c r="H2041" i="2"/>
  <c r="H2107" i="2"/>
  <c r="H2113" i="2"/>
  <c r="H2120" i="2"/>
  <c r="H2191" i="2"/>
  <c r="H2207" i="2"/>
  <c r="H2215" i="2"/>
  <c r="H2226" i="2"/>
  <c r="H2237" i="2"/>
  <c r="H2243" i="2"/>
  <c r="H2247" i="2"/>
  <c r="H2251" i="2"/>
  <c r="H2256" i="2"/>
  <c r="H2270" i="2"/>
  <c r="H2279" i="2"/>
  <c r="H2281" i="2"/>
  <c r="H2287" i="2"/>
  <c r="H2300" i="2"/>
  <c r="H2327" i="2"/>
  <c r="H2342" i="2"/>
  <c r="G685" i="2" l="1"/>
  <c r="G684" i="2" s="1"/>
  <c r="G434" i="2"/>
  <c r="G458" i="2"/>
  <c r="G452" i="2"/>
  <c r="G448" i="2"/>
  <c r="G447" i="2" l="1"/>
  <c r="G451" i="2"/>
  <c r="G457" i="2"/>
  <c r="F834" i="2"/>
  <c r="H834" i="2" s="1"/>
  <c r="G456" i="2" l="1"/>
  <c r="G446" i="2"/>
  <c r="G450" i="2"/>
  <c r="G2136" i="2"/>
  <c r="F2137" i="2"/>
  <c r="G2135" i="2" l="1"/>
  <c r="F2136" i="2"/>
  <c r="F2135" i="2" s="1"/>
  <c r="F2134" i="2" s="1"/>
  <c r="F2133" i="2" s="1"/>
  <c r="F2132" i="2" s="1"/>
  <c r="H2137" i="2"/>
  <c r="G455" i="2"/>
  <c r="F154" i="2"/>
  <c r="H154" i="2" s="1"/>
  <c r="H2136" i="2" l="1"/>
  <c r="G2134" i="2"/>
  <c r="H2135" i="2"/>
  <c r="F115" i="2"/>
  <c r="H115" i="2" s="1"/>
  <c r="G2133" i="2" l="1"/>
  <c r="H2134" i="2"/>
  <c r="F764" i="2"/>
  <c r="H764" i="2" s="1"/>
  <c r="G2132" i="2" l="1"/>
  <c r="H2132" i="2" s="1"/>
  <c r="H2133" i="2"/>
  <c r="F1823" i="2"/>
  <c r="F619" i="2" l="1"/>
  <c r="H619" i="2" s="1"/>
  <c r="F120" i="2" l="1"/>
  <c r="F481" i="2"/>
  <c r="F478" i="2"/>
  <c r="H478" i="2" s="1"/>
  <c r="F346" i="2"/>
  <c r="H346" i="2" s="1"/>
  <c r="H120" i="2" l="1"/>
  <c r="F118" i="2"/>
  <c r="F41" i="2"/>
  <c r="F687" i="2" l="1"/>
  <c r="H687" i="2" s="1"/>
  <c r="F884" i="2" l="1"/>
  <c r="H884" i="2" s="1"/>
  <c r="F1720" i="2" l="1"/>
  <c r="H1720" i="2" s="1"/>
  <c r="F1719" i="2"/>
  <c r="H1719" i="2" s="1"/>
  <c r="F1347" i="2"/>
  <c r="H1347" i="2" s="1"/>
  <c r="F1801" i="2" l="1"/>
  <c r="H1801" i="2" s="1"/>
  <c r="F512" i="2" l="1"/>
  <c r="H512" i="2" s="1"/>
  <c r="F1056" i="2" l="1"/>
  <c r="F1052" i="2"/>
  <c r="F856" i="2"/>
  <c r="H856" i="2" s="1"/>
  <c r="F995" i="2"/>
  <c r="H995" i="2" s="1"/>
  <c r="F984" i="2"/>
  <c r="H984" i="2" s="1"/>
  <c r="F892" i="2"/>
  <c r="H892" i="2" s="1"/>
  <c r="F460" i="2" l="1"/>
  <c r="H460" i="2" s="1"/>
  <c r="F459" i="2"/>
  <c r="H459" i="2" s="1"/>
  <c r="F442" i="2"/>
  <c r="H442" i="2" s="1"/>
  <c r="F471" i="2" l="1"/>
  <c r="H471" i="2" s="1"/>
  <c r="F643" i="2"/>
  <c r="H643" i="2" s="1"/>
  <c r="F639" i="2"/>
  <c r="H639" i="2" s="1"/>
  <c r="F577" i="2" l="1"/>
  <c r="H577" i="2" s="1"/>
  <c r="F1549" i="2" l="1"/>
  <c r="H1549" i="2" s="1"/>
  <c r="F586" i="2" l="1"/>
  <c r="H586" i="2" s="1"/>
  <c r="F575" i="2" l="1"/>
  <c r="H575" i="2" s="1"/>
  <c r="F1783" i="2" l="1"/>
  <c r="H1783" i="2" s="1"/>
  <c r="F1291" i="2" l="1"/>
  <c r="H1291" i="2" s="1"/>
  <c r="F1068" i="2" l="1"/>
  <c r="H1068" i="2" s="1"/>
  <c r="F683" i="2"/>
  <c r="H683" i="2" s="1"/>
  <c r="F54" i="2" l="1"/>
  <c r="F53" i="2"/>
  <c r="F49" i="2"/>
  <c r="F40" i="2"/>
  <c r="F37" i="2"/>
  <c r="F36" i="2"/>
  <c r="H36" i="2" s="1"/>
  <c r="F35" i="2"/>
  <c r="F963" i="2" l="1"/>
  <c r="H963" i="2" s="1"/>
  <c r="F903" i="2"/>
  <c r="F888" i="2"/>
  <c r="H888" i="2" s="1"/>
  <c r="F798" i="2"/>
  <c r="H798" i="2" s="1"/>
  <c r="F759" i="2"/>
  <c r="H759" i="2" s="1"/>
  <c r="F600" i="2" l="1"/>
  <c r="F599" i="2" l="1"/>
  <c r="F598" i="2" s="1"/>
  <c r="F597" i="2" s="1"/>
  <c r="H600" i="2"/>
  <c r="F2166" i="2"/>
  <c r="H2166" i="2" s="1"/>
  <c r="F2179" i="2"/>
  <c r="H2179" i="2" s="1"/>
  <c r="F1319" i="2"/>
  <c r="H1319" i="2" s="1"/>
  <c r="F1315" i="2"/>
  <c r="H1315" i="2" s="1"/>
  <c r="F1187" i="2" l="1"/>
  <c r="H1187" i="2" s="1"/>
  <c r="F325" i="2" l="1"/>
  <c r="H325" i="2" s="1"/>
  <c r="F321" i="2"/>
  <c r="F320" i="2"/>
  <c r="F466" i="2" l="1"/>
  <c r="H466" i="2" s="1"/>
  <c r="F390" i="2"/>
  <c r="F395" i="2"/>
  <c r="F1855" i="2" l="1"/>
  <c r="F1867" i="2"/>
  <c r="F1302" i="2" l="1"/>
  <c r="F373" i="2" l="1"/>
  <c r="F372" i="2"/>
  <c r="H372" i="2" s="1"/>
  <c r="F364" i="2"/>
  <c r="F1162" i="2" l="1"/>
  <c r="H1162" i="2" s="1"/>
  <c r="F1083" i="2" l="1"/>
  <c r="H1083" i="2" s="1"/>
  <c r="F1074" i="2"/>
  <c r="H1074" i="2" s="1"/>
  <c r="F981" i="2"/>
  <c r="F977" i="2"/>
  <c r="H977" i="2" s="1"/>
  <c r="F949" i="2"/>
  <c r="F1100" i="2"/>
  <c r="H1100" i="2" s="1"/>
  <c r="F1087" i="2"/>
  <c r="H1087" i="2" s="1"/>
  <c r="F1079" i="2"/>
  <c r="H1079" i="2" s="1"/>
  <c r="F1064" i="2"/>
  <c r="H1064" i="2" s="1"/>
  <c r="F999" i="2"/>
  <c r="H999" i="2" s="1"/>
  <c r="F988" i="2"/>
  <c r="H988" i="2" s="1"/>
  <c r="F972" i="2"/>
  <c r="H972" i="2" s="1"/>
  <c r="F967" i="2"/>
  <c r="H967" i="2" s="1"/>
  <c r="F794" i="2" l="1"/>
  <c r="H794" i="2" s="1"/>
  <c r="F2017" i="2" l="1"/>
  <c r="H2017" i="2" s="1"/>
  <c r="F2014" i="2"/>
  <c r="H2014" i="2" s="1"/>
  <c r="F1977" i="2" l="1"/>
  <c r="H1977" i="2" s="1"/>
  <c r="F1974" i="2"/>
  <c r="H1974" i="2" s="1"/>
  <c r="F1970" i="2"/>
  <c r="H1970" i="2" s="1"/>
  <c r="F1967" i="2"/>
  <c r="H1967" i="2" s="1"/>
  <c r="F544" i="2" l="1"/>
  <c r="H544" i="2" s="1"/>
  <c r="F583" i="2" l="1"/>
  <c r="H583" i="2" s="1"/>
  <c r="F538" i="2"/>
  <c r="H538" i="2" s="1"/>
  <c r="F508" i="2"/>
  <c r="H508" i="2" s="1"/>
  <c r="F498" i="2"/>
  <c r="H498" i="2" s="1"/>
  <c r="F1894" i="2" l="1"/>
  <c r="H1894" i="2" s="1"/>
  <c r="F804" i="2" l="1"/>
  <c r="H804" i="2" s="1"/>
  <c r="F403" i="2" l="1"/>
  <c r="F407" i="2"/>
  <c r="H407" i="2" s="1"/>
  <c r="F2220" i="2" l="1"/>
  <c r="H2220" i="2" l="1"/>
  <c r="F2219" i="2"/>
  <c r="F2072" i="2"/>
  <c r="F2071" i="2"/>
  <c r="H2071" i="2" s="1"/>
  <c r="F2059" i="2"/>
  <c r="H2059" i="2" s="1"/>
  <c r="F2034" i="2"/>
  <c r="H2034" i="2" s="1"/>
  <c r="F2032" i="2"/>
  <c r="H2032" i="2" s="1"/>
  <c r="F1827" i="2" l="1"/>
  <c r="H1827" i="2" l="1"/>
  <c r="F1824" i="2"/>
  <c r="F1195" i="2"/>
  <c r="H1195" i="2" s="1"/>
  <c r="F1218" i="2"/>
  <c r="H1218" i="2" s="1"/>
  <c r="F1937" i="2" l="1"/>
  <c r="F1938" i="2"/>
  <c r="F1765" i="2" l="1"/>
  <c r="H1765" i="2" s="1"/>
  <c r="F1777" i="2"/>
  <c r="H1777" i="2" s="1"/>
  <c r="F1918" i="2"/>
  <c r="H1918" i="2" s="1"/>
  <c r="F1943" i="2"/>
  <c r="H1943" i="2" s="1"/>
  <c r="F1939" i="2"/>
  <c r="F526" i="2" l="1"/>
  <c r="F523" i="2"/>
  <c r="H523" i="2" s="1"/>
  <c r="F522" i="2"/>
  <c r="H522" i="2" s="1"/>
  <c r="H526" i="2" l="1"/>
  <c r="F525" i="2"/>
  <c r="F2070" i="2"/>
  <c r="F2346" i="2" l="1"/>
  <c r="H2346" i="2" s="1"/>
  <c r="F2350" i="2"/>
  <c r="H2350" i="2" s="1"/>
  <c r="F2339" i="2"/>
  <c r="H2339" i="2" s="1"/>
  <c r="F991" i="2" l="1"/>
  <c r="H991" i="2" s="1"/>
  <c r="F1028" i="2"/>
  <c r="H1028" i="2" s="1"/>
  <c r="F2229" i="2" l="1"/>
  <c r="G2225" i="2"/>
  <c r="F2225" i="2"/>
  <c r="F2224" i="2" s="1"/>
  <c r="G2224" i="2" l="1"/>
  <c r="H2224" i="2" s="1"/>
  <c r="H2225" i="2"/>
  <c r="F2239" i="2"/>
  <c r="F852" i="2"/>
  <c r="H852" i="2" s="1"/>
  <c r="F872" i="2"/>
  <c r="H872" i="2" s="1"/>
  <c r="H2239" i="2" l="1"/>
  <c r="F1043" i="2"/>
  <c r="F2066" i="2" l="1"/>
  <c r="F2063" i="2"/>
  <c r="F2056" i="2"/>
  <c r="H2056" i="2" s="1"/>
  <c r="F2022" i="2"/>
  <c r="H2022" i="2" s="1"/>
  <c r="F2025" i="2"/>
  <c r="H2025" i="2" s="1"/>
  <c r="G1194" i="2" l="1"/>
  <c r="F1194" i="2"/>
  <c r="F1193" i="2" s="1"/>
  <c r="F1192" i="2" s="1"/>
  <c r="G1193" i="2" l="1"/>
  <c r="H1194" i="2"/>
  <c r="G1192" i="2" l="1"/>
  <c r="H1192" i="2" s="1"/>
  <c r="H1193" i="2"/>
  <c r="F772" i="2"/>
  <c r="H772" i="2" s="1"/>
  <c r="F615" i="2" l="1"/>
  <c r="H615" i="2" s="1"/>
  <c r="F1834" i="2"/>
  <c r="F1129" i="2" l="1"/>
  <c r="F1128" i="2"/>
  <c r="F1127" i="2"/>
  <c r="F1293" i="2" l="1"/>
  <c r="H1293" i="2" s="1"/>
  <c r="F23" i="2" l="1"/>
  <c r="F24" i="2"/>
  <c r="F30" i="2"/>
  <c r="F34" i="2"/>
  <c r="F44" i="2"/>
  <c r="F48" i="2"/>
  <c r="F62" i="2"/>
  <c r="H62" i="2" s="1"/>
  <c r="F63" i="2"/>
  <c r="H63" i="2" s="1"/>
  <c r="F64" i="2"/>
  <c r="H64" i="2" s="1"/>
  <c r="F66" i="2"/>
  <c r="F65" i="2" s="1"/>
  <c r="F75" i="2"/>
  <c r="H75" i="2" s="1"/>
  <c r="F76" i="2"/>
  <c r="H76" i="2" s="1"/>
  <c r="F77" i="2"/>
  <c r="H77" i="2" s="1"/>
  <c r="F84" i="2"/>
  <c r="F85" i="2"/>
  <c r="H85" i="2" s="1"/>
  <c r="F86" i="2"/>
  <c r="F89" i="2"/>
  <c r="F95" i="2"/>
  <c r="F94" i="2" s="1"/>
  <c r="F93" i="2" s="1"/>
  <c r="F92" i="2" s="1"/>
  <c r="F98" i="2"/>
  <c r="F97" i="2" s="1"/>
  <c r="F96" i="2" s="1"/>
  <c r="F105" i="2"/>
  <c r="F110" i="2"/>
  <c r="F111" i="2"/>
  <c r="F112" i="2"/>
  <c r="F116" i="2"/>
  <c r="F124" i="2"/>
  <c r="H124" i="2" s="1"/>
  <c r="F125" i="2"/>
  <c r="H125" i="2" s="1"/>
  <c r="F126" i="2"/>
  <c r="H126" i="2" s="1"/>
  <c r="F129" i="2"/>
  <c r="F128" i="2" s="1"/>
  <c r="F127" i="2" s="1"/>
  <c r="F136" i="2"/>
  <c r="H136" i="2" s="1"/>
  <c r="F137" i="2"/>
  <c r="H137" i="2" s="1"/>
  <c r="F138" i="2"/>
  <c r="H138" i="2" s="1"/>
  <c r="F142" i="2"/>
  <c r="F147" i="2"/>
  <c r="F149" i="2"/>
  <c r="F148" i="2" s="1"/>
  <c r="F153" i="2"/>
  <c r="F152" i="2" s="1"/>
  <c r="F151" i="2" s="1"/>
  <c r="F161" i="2"/>
  <c r="F168" i="2"/>
  <c r="H168" i="2" s="1"/>
  <c r="F169" i="2"/>
  <c r="H169" i="2" s="1"/>
  <c r="F170" i="2"/>
  <c r="H170" i="2" s="1"/>
  <c r="F172" i="2"/>
  <c r="F171" i="2" s="1"/>
  <c r="F177" i="2"/>
  <c r="F178" i="2"/>
  <c r="F179" i="2"/>
  <c r="F184" i="2"/>
  <c r="F188" i="2"/>
  <c r="F187" i="2" s="1"/>
  <c r="F192" i="2"/>
  <c r="F196" i="2"/>
  <c r="F204" i="2"/>
  <c r="F209" i="2"/>
  <c r="F214" i="2"/>
  <c r="F215" i="2"/>
  <c r="F216" i="2"/>
  <c r="F219" i="2"/>
  <c r="H219" i="2" s="1"/>
  <c r="F220" i="2"/>
  <c r="H220" i="2" s="1"/>
  <c r="F227" i="2"/>
  <c r="F232" i="2"/>
  <c r="F233" i="2"/>
  <c r="F234" i="2"/>
  <c r="F237" i="2"/>
  <c r="H237" i="2" s="1"/>
  <c r="F238" i="2"/>
  <c r="H238" i="2" s="1"/>
  <c r="F241" i="2"/>
  <c r="F245" i="2"/>
  <c r="F246" i="2"/>
  <c r="F251" i="2"/>
  <c r="F260" i="2"/>
  <c r="F261" i="2"/>
  <c r="F263" i="2"/>
  <c r="F262" i="2" s="1"/>
  <c r="F271" i="2"/>
  <c r="F276" i="2"/>
  <c r="F283" i="2"/>
  <c r="F282" i="2" s="1"/>
  <c r="F281" i="2" s="1"/>
  <c r="F280" i="2" s="1"/>
  <c r="F279" i="2" s="1"/>
  <c r="F278" i="2" s="1"/>
  <c r="F292" i="2"/>
  <c r="F298" i="2"/>
  <c r="F299" i="2"/>
  <c r="F300" i="2"/>
  <c r="F303" i="2"/>
  <c r="F304" i="2"/>
  <c r="H304" i="2" s="1"/>
  <c r="F307" i="2"/>
  <c r="F311" i="2"/>
  <c r="F310" i="2" s="1"/>
  <c r="F313" i="2"/>
  <c r="F322" i="2"/>
  <c r="F326" i="2"/>
  <c r="F329" i="2"/>
  <c r="F335" i="2"/>
  <c r="F336" i="2"/>
  <c r="F337" i="2"/>
  <c r="F340" i="2"/>
  <c r="H340" i="2" s="1"/>
  <c r="F341" i="2"/>
  <c r="H341" i="2" s="1"/>
  <c r="F345" i="2"/>
  <c r="F350" i="2"/>
  <c r="F349" i="2" s="1"/>
  <c r="F348" i="2" s="1"/>
  <c r="F353" i="2"/>
  <c r="F357" i="2"/>
  <c r="F360" i="2"/>
  <c r="F363" i="2"/>
  <c r="F362" i="2" s="1"/>
  <c r="F361" i="2" s="1"/>
  <c r="F368" i="2"/>
  <c r="F371" i="2"/>
  <c r="F370" i="2" s="1"/>
  <c r="F375" i="2"/>
  <c r="F374" i="2" s="1"/>
  <c r="F380" i="2"/>
  <c r="F383" i="2"/>
  <c r="F382" i="2" s="1"/>
  <c r="F381" i="2" s="1"/>
  <c r="F389" i="2"/>
  <c r="F388" i="2" s="1"/>
  <c r="F387" i="2" s="1"/>
  <c r="F394" i="2"/>
  <c r="F393" i="2" s="1"/>
  <c r="F398" i="2"/>
  <c r="F402" i="2"/>
  <c r="F401" i="2" s="1"/>
  <c r="F400" i="2" s="1"/>
  <c r="F406" i="2"/>
  <c r="F405" i="2" s="1"/>
  <c r="F404" i="2" s="1"/>
  <c r="F411" i="2"/>
  <c r="F416" i="2"/>
  <c r="F421" i="2"/>
  <c r="F420" i="2" s="1"/>
  <c r="F419" i="2" s="1"/>
  <c r="F418" i="2" s="1"/>
  <c r="F417" i="2" s="1"/>
  <c r="F430" i="2"/>
  <c r="H430" i="2" s="1"/>
  <c r="F431" i="2"/>
  <c r="H431" i="2" s="1"/>
  <c r="F435" i="2"/>
  <c r="H435" i="2" s="1"/>
  <c r="F436" i="2"/>
  <c r="H436" i="2" s="1"/>
  <c r="F437" i="2"/>
  <c r="H437" i="2" s="1"/>
  <c r="F441" i="2"/>
  <c r="H441" i="2" s="1"/>
  <c r="F444" i="2"/>
  <c r="F443" i="2" s="1"/>
  <c r="F449" i="2"/>
  <c r="F452" i="2"/>
  <c r="F465" i="2"/>
  <c r="F464" i="2" s="1"/>
  <c r="F463" i="2" s="1"/>
  <c r="F462" i="2" s="1"/>
  <c r="F470" i="2"/>
  <c r="F469" i="2" s="1"/>
  <c r="F468" i="2" s="1"/>
  <c r="F467" i="2" s="1"/>
  <c r="F476" i="2"/>
  <c r="F475" i="2" s="1"/>
  <c r="F480" i="2"/>
  <c r="F479" i="2" s="1"/>
  <c r="F485" i="2"/>
  <c r="F489" i="2"/>
  <c r="F497" i="2"/>
  <c r="F496" i="2" s="1"/>
  <c r="F495" i="2" s="1"/>
  <c r="F494" i="2" s="1"/>
  <c r="F503" i="2"/>
  <c r="F506" i="2"/>
  <c r="F505" i="2" s="1"/>
  <c r="F504" i="2" s="1"/>
  <c r="F511" i="2"/>
  <c r="F510" i="2" s="1"/>
  <c r="F509" i="2" s="1"/>
  <c r="F517" i="2"/>
  <c r="F518" i="2"/>
  <c r="F519" i="2"/>
  <c r="F531" i="2"/>
  <c r="F537" i="2"/>
  <c r="H537" i="2" s="1"/>
  <c r="F543" i="2"/>
  <c r="F542" i="2" s="1"/>
  <c r="F541" i="2" s="1"/>
  <c r="F540" i="2" s="1"/>
  <c r="F539" i="2" s="1"/>
  <c r="F552" i="2"/>
  <c r="F557" i="2"/>
  <c r="F556" i="2" s="1"/>
  <c r="F558" i="2"/>
  <c r="F563" i="2"/>
  <c r="F562" i="2" s="1"/>
  <c r="F566" i="2"/>
  <c r="F565" i="2" s="1"/>
  <c r="F572" i="2"/>
  <c r="F574" i="2"/>
  <c r="F576" i="2"/>
  <c r="F582" i="2"/>
  <c r="F581" i="2" s="1"/>
  <c r="F585" i="2"/>
  <c r="F588" i="2"/>
  <c r="F591" i="2"/>
  <c r="F590" i="2" s="1"/>
  <c r="F589" i="2" s="1"/>
  <c r="F603" i="2"/>
  <c r="F602" i="2" s="1"/>
  <c r="F601" i="2" s="1"/>
  <c r="F608" i="2"/>
  <c r="F614" i="2"/>
  <c r="F613" i="2" s="1"/>
  <c r="F612" i="2" s="1"/>
  <c r="F618" i="2"/>
  <c r="F617" i="2" s="1"/>
  <c r="F616" i="2" s="1"/>
  <c r="F623" i="2"/>
  <c r="F627" i="2"/>
  <c r="F631" i="2"/>
  <c r="F635" i="2"/>
  <c r="F638" i="2"/>
  <c r="F637" i="2" s="1"/>
  <c r="F636" i="2" s="1"/>
  <c r="F642" i="2"/>
  <c r="F641" i="2" s="1"/>
  <c r="F640" i="2" s="1"/>
  <c r="F647" i="2"/>
  <c r="F651" i="2"/>
  <c r="F655" i="2"/>
  <c r="F658" i="2"/>
  <c r="F657" i="2" s="1"/>
  <c r="F656" i="2" s="1"/>
  <c r="F663" i="2"/>
  <c r="F668" i="2"/>
  <c r="F672" i="2"/>
  <c r="F679" i="2"/>
  <c r="F682" i="2"/>
  <c r="F686" i="2"/>
  <c r="F694" i="2"/>
  <c r="F697" i="2"/>
  <c r="F696" i="2" s="1"/>
  <c r="F695" i="2" s="1"/>
  <c r="F703" i="2"/>
  <c r="F707" i="2"/>
  <c r="F711" i="2"/>
  <c r="F717" i="2"/>
  <c r="F721" i="2"/>
  <c r="F727" i="2"/>
  <c r="F732" i="2"/>
  <c r="F737" i="2"/>
  <c r="F746" i="2"/>
  <c r="F753" i="2"/>
  <c r="F758" i="2"/>
  <c r="F757" i="2" s="1"/>
  <c r="F756" i="2" s="1"/>
  <c r="F763" i="2"/>
  <c r="F762" i="2" s="1"/>
  <c r="F761" i="2" s="1"/>
  <c r="F768" i="2"/>
  <c r="F771" i="2"/>
  <c r="F770" i="2" s="1"/>
  <c r="F769" i="2" s="1"/>
  <c r="F778" i="2"/>
  <c r="F782" i="2"/>
  <c r="F786" i="2"/>
  <c r="F789" i="2"/>
  <c r="F788" i="2" s="1"/>
  <c r="F787" i="2" s="1"/>
  <c r="F793" i="2"/>
  <c r="F792" i="2" s="1"/>
  <c r="F791" i="2" s="1"/>
  <c r="F797" i="2"/>
  <c r="F796" i="2" s="1"/>
  <c r="F801" i="2"/>
  <c r="F803" i="2"/>
  <c r="F802" i="2" s="1"/>
  <c r="F812" i="2"/>
  <c r="F811" i="2" s="1"/>
  <c r="F810" i="2" s="1"/>
  <c r="F809" i="2" s="1"/>
  <c r="F816" i="2"/>
  <c r="F822" i="2"/>
  <c r="F826" i="2"/>
  <c r="F830" i="2"/>
  <c r="F833" i="2"/>
  <c r="F832" i="2" s="1"/>
  <c r="F831" i="2" s="1"/>
  <c r="F840" i="2"/>
  <c r="F844" i="2"/>
  <c r="F848" i="2"/>
  <c r="F851" i="2"/>
  <c r="F850" i="2" s="1"/>
  <c r="F849" i="2" s="1"/>
  <c r="F855" i="2"/>
  <c r="F854" i="2" s="1"/>
  <c r="F853" i="2" s="1"/>
  <c r="F860" i="2"/>
  <c r="F863" i="2"/>
  <c r="F862" i="2" s="1"/>
  <c r="F861" i="2" s="1"/>
  <c r="F868" i="2"/>
  <c r="F871" i="2"/>
  <c r="F870" i="2" s="1"/>
  <c r="F869" i="2" s="1"/>
  <c r="F876" i="2"/>
  <c r="F875" i="2" s="1"/>
  <c r="F874" i="2" s="1"/>
  <c r="F873" i="2" s="1"/>
  <c r="F880" i="2"/>
  <c r="F883" i="2"/>
  <c r="F882" i="2" s="1"/>
  <c r="F881" i="2" s="1"/>
  <c r="F887" i="2"/>
  <c r="F886" i="2" s="1"/>
  <c r="F885" i="2" s="1"/>
  <c r="F891" i="2"/>
  <c r="F890" i="2" s="1"/>
  <c r="F889" i="2" s="1"/>
  <c r="F895" i="2"/>
  <c r="F894" i="2" s="1"/>
  <c r="F893" i="2" s="1"/>
  <c r="F902" i="2"/>
  <c r="F901" i="2" s="1"/>
  <c r="F900" i="2" s="1"/>
  <c r="F899" i="2" s="1"/>
  <c r="F898" i="2" s="1"/>
  <c r="F897" i="2" s="1"/>
  <c r="F909" i="2"/>
  <c r="F912" i="2"/>
  <c r="F919" i="2"/>
  <c r="F923" i="2"/>
  <c r="H929" i="2"/>
  <c r="H930" i="2"/>
  <c r="F933" i="2"/>
  <c r="F932" i="2" s="1"/>
  <c r="F931" i="2" s="1"/>
  <c r="F937" i="2"/>
  <c r="F936" i="2" s="1"/>
  <c r="F935" i="2" s="1"/>
  <c r="F945" i="2"/>
  <c r="F944" i="2" s="1"/>
  <c r="F943" i="2" s="1"/>
  <c r="F942" i="2" s="1"/>
  <c r="F948" i="2"/>
  <c r="F947" i="2" s="1"/>
  <c r="F952" i="2"/>
  <c r="F955" i="2"/>
  <c r="F954" i="2" s="1"/>
  <c r="F953" i="2" s="1"/>
  <c r="F959" i="2"/>
  <c r="F958" i="2" s="1"/>
  <c r="F957" i="2" s="1"/>
  <c r="F956" i="2" s="1"/>
  <c r="F962" i="2"/>
  <c r="F961" i="2" s="1"/>
  <c r="F960" i="2" s="1"/>
  <c r="F966" i="2"/>
  <c r="F965" i="2" s="1"/>
  <c r="F964" i="2" s="1"/>
  <c r="F971" i="2"/>
  <c r="F970" i="2" s="1"/>
  <c r="F969" i="2" s="1"/>
  <c r="F968" i="2" s="1"/>
  <c r="F976" i="2"/>
  <c r="F975" i="2" s="1"/>
  <c r="F974" i="2" s="1"/>
  <c r="F980" i="2"/>
  <c r="F979" i="2" s="1"/>
  <c r="F983" i="2"/>
  <c r="F982" i="2" s="1"/>
  <c r="F987" i="2"/>
  <c r="F986" i="2" s="1"/>
  <c r="F990" i="2"/>
  <c r="F989" i="2" s="1"/>
  <c r="F994" i="2"/>
  <c r="F993" i="2" s="1"/>
  <c r="F992" i="2" s="1"/>
  <c r="F998" i="2"/>
  <c r="F997" i="2" s="1"/>
  <c r="F996" i="2" s="1"/>
  <c r="F1003" i="2"/>
  <c r="F1007" i="2"/>
  <c r="F1010" i="2"/>
  <c r="F1009" i="2" s="1"/>
  <c r="F1008" i="2" s="1"/>
  <c r="F1015" i="2"/>
  <c r="F1020" i="2"/>
  <c r="F1024" i="2"/>
  <c r="F1027" i="2"/>
  <c r="F1026" i="2" s="1"/>
  <c r="F1025" i="2" s="1"/>
  <c r="F1032" i="2"/>
  <c r="F1036" i="2"/>
  <c r="F1040" i="2"/>
  <c r="F1042" i="2"/>
  <c r="F1041" i="2" s="1"/>
  <c r="F1046" i="2"/>
  <c r="F1051" i="2"/>
  <c r="F1050" i="2" s="1"/>
  <c r="F1049" i="2" s="1"/>
  <c r="F1055" i="2"/>
  <c r="F1054" i="2" s="1"/>
  <c r="F1053" i="2" s="1"/>
  <c r="F1060" i="2"/>
  <c r="F1063" i="2"/>
  <c r="F1067" i="2"/>
  <c r="F1066" i="2" s="1"/>
  <c r="F1065" i="2" s="1"/>
  <c r="F1073" i="2"/>
  <c r="F1072" i="2" s="1"/>
  <c r="F1071" i="2" s="1"/>
  <c r="F1070" i="2" s="1"/>
  <c r="F1078" i="2"/>
  <c r="F1077" i="2" s="1"/>
  <c r="F1076" i="2" s="1"/>
  <c r="F1082" i="2"/>
  <c r="F1081" i="2" s="1"/>
  <c r="F1080" i="2" s="1"/>
  <c r="F1086" i="2"/>
  <c r="F1085" i="2" s="1"/>
  <c r="F1084" i="2" s="1"/>
  <c r="F1091" i="2"/>
  <c r="F1096" i="2"/>
  <c r="F1099" i="2"/>
  <c r="F1098" i="2" s="1"/>
  <c r="F1097" i="2" s="1"/>
  <c r="F1106" i="2"/>
  <c r="F1109" i="2"/>
  <c r="F1113" i="2"/>
  <c r="F1121" i="2"/>
  <c r="F1132" i="2"/>
  <c r="H1132" i="2" s="1"/>
  <c r="F1133" i="2"/>
  <c r="H1133" i="2" s="1"/>
  <c r="F1135" i="2"/>
  <c r="F1134" i="2" s="1"/>
  <c r="F1144" i="2"/>
  <c r="F1145" i="2"/>
  <c r="F1146" i="2"/>
  <c r="F1149" i="2"/>
  <c r="H1149" i="2" s="1"/>
  <c r="F1150" i="2"/>
  <c r="H1150" i="2" s="1"/>
  <c r="F1161" i="2"/>
  <c r="F1160" i="2" s="1"/>
  <c r="F1159" i="2" s="1"/>
  <c r="F1158" i="2" s="1"/>
  <c r="F1157" i="2" s="1"/>
  <c r="F1170" i="2"/>
  <c r="F1169" i="2" s="1"/>
  <c r="F1173" i="2"/>
  <c r="F1172" i="2" s="1"/>
  <c r="F1178" i="2"/>
  <c r="F1183" i="2"/>
  <c r="F1186" i="2"/>
  <c r="F1185" i="2" s="1"/>
  <c r="F1184" i="2" s="1"/>
  <c r="F1191" i="2"/>
  <c r="F1200" i="2"/>
  <c r="F1199" i="2" s="1"/>
  <c r="F1198" i="2" s="1"/>
  <c r="F1197" i="2" s="1"/>
  <c r="F1196" i="2" s="1"/>
  <c r="F1205" i="2"/>
  <c r="F1210" i="2"/>
  <c r="F1209" i="2" s="1"/>
  <c r="F1208" i="2" s="1"/>
  <c r="F1207" i="2" s="1"/>
  <c r="F1214" i="2"/>
  <c r="F1216" i="2"/>
  <c r="F1215" i="2" s="1"/>
  <c r="F1224" i="2"/>
  <c r="F1223" i="2" s="1"/>
  <c r="F1222" i="2" s="1"/>
  <c r="F1228" i="2"/>
  <c r="F1227" i="2" s="1"/>
  <c r="F1226" i="2" s="1"/>
  <c r="F1235" i="2"/>
  <c r="F1234" i="2" s="1"/>
  <c r="F1233" i="2" s="1"/>
  <c r="F1232" i="2" s="1"/>
  <c r="F1241" i="2"/>
  <c r="F1240" i="2" s="1"/>
  <c r="F1239" i="2" s="1"/>
  <c r="F1238" i="2" s="1"/>
  <c r="F1237" i="2" s="1"/>
  <c r="F1248" i="2"/>
  <c r="F1257" i="2"/>
  <c r="F1258" i="2"/>
  <c r="F1259" i="2"/>
  <c r="F1262" i="2"/>
  <c r="F1264" i="2"/>
  <c r="F1263" i="2" s="1"/>
  <c r="F1269" i="2"/>
  <c r="F1274" i="2"/>
  <c r="F1278" i="2"/>
  <c r="F1282" i="2"/>
  <c r="F1281" i="2" s="1"/>
  <c r="F1280" i="2" s="1"/>
  <c r="F1284" i="2"/>
  <c r="F1283" i="2" s="1"/>
  <c r="F1287" i="2"/>
  <c r="F1290" i="2"/>
  <c r="F1292" i="2"/>
  <c r="F1297" i="2"/>
  <c r="F1298" i="2"/>
  <c r="F1299" i="2"/>
  <c r="F1301" i="2"/>
  <c r="F1300" i="2" s="1"/>
  <c r="F1305" i="2"/>
  <c r="F1304" i="2" s="1"/>
  <c r="F1303" i="2" s="1"/>
  <c r="F1311" i="2"/>
  <c r="F1318" i="2"/>
  <c r="F1317" i="2" s="1"/>
  <c r="F1316" i="2" s="1"/>
  <c r="F1323" i="2"/>
  <c r="F1327" i="2"/>
  <c r="F1333" i="2"/>
  <c r="H1333" i="2" s="1"/>
  <c r="F1334" i="2"/>
  <c r="H1334" i="2" s="1"/>
  <c r="F1336" i="2"/>
  <c r="F1335" i="2" s="1"/>
  <c r="F1342" i="2"/>
  <c r="F1346" i="2"/>
  <c r="F1345" i="2" s="1"/>
  <c r="F1344" i="2" s="1"/>
  <c r="F1343" i="2" s="1"/>
  <c r="F1351" i="2"/>
  <c r="F1354" i="2"/>
  <c r="F1359" i="2"/>
  <c r="F1358" i="2" s="1"/>
  <c r="F1363" i="2"/>
  <c r="F1368" i="2"/>
  <c r="F1373" i="2"/>
  <c r="F1372" i="2" s="1"/>
  <c r="F1371" i="2" s="1"/>
  <c r="F1370" i="2" s="1"/>
  <c r="F1377" i="2"/>
  <c r="F1376" i="2" s="1"/>
  <c r="F1375" i="2" s="1"/>
  <c r="F1374" i="2" s="1"/>
  <c r="F1381" i="2"/>
  <c r="F1380" i="2" s="1"/>
  <c r="F1379" i="2" s="1"/>
  <c r="F1378" i="2" s="1"/>
  <c r="F1385" i="2"/>
  <c r="F1389" i="2"/>
  <c r="F1393" i="2"/>
  <c r="F1397" i="2"/>
  <c r="F1396" i="2" s="1"/>
  <c r="F1395" i="2" s="1"/>
  <c r="F1394" i="2" s="1"/>
  <c r="F1401" i="2"/>
  <c r="F1400" i="2" s="1"/>
  <c r="F1399" i="2" s="1"/>
  <c r="F1398" i="2" s="1"/>
  <c r="F1406" i="2"/>
  <c r="F1410" i="2"/>
  <c r="F1414" i="2"/>
  <c r="F1421" i="2"/>
  <c r="F1426" i="2"/>
  <c r="F1425" i="2" s="1"/>
  <c r="F1424" i="2" s="1"/>
  <c r="F1423" i="2" s="1"/>
  <c r="F1422" i="2" s="1"/>
  <c r="F1432" i="2"/>
  <c r="F1431" i="2" s="1"/>
  <c r="F1430" i="2" s="1"/>
  <c r="F1437" i="2"/>
  <c r="F1443" i="2"/>
  <c r="F1442" i="2" s="1"/>
  <c r="F1441" i="2" s="1"/>
  <c r="F1447" i="2"/>
  <c r="F1446" i="2" s="1"/>
  <c r="F1445" i="2" s="1"/>
  <c r="F1451" i="2"/>
  <c r="F1450" i="2" s="1"/>
  <c r="F1449" i="2" s="1"/>
  <c r="F1459" i="2"/>
  <c r="F1463" i="2"/>
  <c r="F1468" i="2"/>
  <c r="F1467" i="2" s="1"/>
  <c r="F1466" i="2" s="1"/>
  <c r="F1465" i="2" s="1"/>
  <c r="F1464" i="2" s="1"/>
  <c r="F1475" i="2"/>
  <c r="F1478" i="2"/>
  <c r="F1477" i="2" s="1"/>
  <c r="F1476" i="2" s="1"/>
  <c r="F1488" i="2"/>
  <c r="F1495" i="2"/>
  <c r="F1500" i="2"/>
  <c r="F1503" i="2"/>
  <c r="F1502" i="2" s="1"/>
  <c r="F1501" i="2" s="1"/>
  <c r="F1508" i="2"/>
  <c r="F1507" i="2" s="1"/>
  <c r="F1506" i="2" s="1"/>
  <c r="F1513" i="2"/>
  <c r="F1512" i="2" s="1"/>
  <c r="F1511" i="2" s="1"/>
  <c r="F1518" i="2"/>
  <c r="F1517" i="2" s="1"/>
  <c r="F1516" i="2" s="1"/>
  <c r="F1515" i="2" s="1"/>
  <c r="F1522" i="2"/>
  <c r="F1521" i="2" s="1"/>
  <c r="F1520" i="2" s="1"/>
  <c r="F1519" i="2" s="1"/>
  <c r="F1526" i="2"/>
  <c r="F1530" i="2"/>
  <c r="F1535" i="2"/>
  <c r="F1534" i="2" s="1"/>
  <c r="F1533" i="2" s="1"/>
  <c r="F1532" i="2" s="1"/>
  <c r="F1539" i="2"/>
  <c r="F1543" i="2"/>
  <c r="F1542" i="2" s="1"/>
  <c r="F1541" i="2" s="1"/>
  <c r="F1540" i="2" s="1"/>
  <c r="F1548" i="2"/>
  <c r="F1547" i="2" s="1"/>
  <c r="F1555" i="2"/>
  <c r="F1554" i="2" s="1"/>
  <c r="F1553" i="2" s="1"/>
  <c r="F1560" i="2"/>
  <c r="F1559" i="2" s="1"/>
  <c r="F1558" i="2" s="1"/>
  <c r="F1557" i="2" s="1"/>
  <c r="F1567" i="2"/>
  <c r="F1574" i="2"/>
  <c r="F1573" i="2" s="1"/>
  <c r="F1572" i="2" s="1"/>
  <c r="F1571" i="2" s="1"/>
  <c r="F1570" i="2" s="1"/>
  <c r="F1581" i="2"/>
  <c r="F1580" i="2" s="1"/>
  <c r="F1579" i="2" s="1"/>
  <c r="F1578" i="2" s="1"/>
  <c r="F1577" i="2" s="1"/>
  <c r="F1576" i="2" s="1"/>
  <c r="F1590" i="2"/>
  <c r="F1589" i="2" s="1"/>
  <c r="F1588" i="2" s="1"/>
  <c r="F1587" i="2" s="1"/>
  <c r="F1586" i="2" s="1"/>
  <c r="F1585" i="2" s="1"/>
  <c r="F1584" i="2" s="1"/>
  <c r="F1598" i="2"/>
  <c r="F1605" i="2"/>
  <c r="F1608" i="2"/>
  <c r="F1610" i="2"/>
  <c r="F1612" i="2"/>
  <c r="F1617" i="2"/>
  <c r="F1620" i="2"/>
  <c r="F1621" i="2"/>
  <c r="F1623" i="2"/>
  <c r="F1628" i="2"/>
  <c r="F1630" i="2"/>
  <c r="F1632" i="2"/>
  <c r="F1634" i="2"/>
  <c r="F1639" i="2"/>
  <c r="F1642" i="2"/>
  <c r="F1643" i="2"/>
  <c r="F1645" i="2"/>
  <c r="F1650" i="2"/>
  <c r="F1655" i="2"/>
  <c r="F1654" i="2" s="1"/>
  <c r="F1659" i="2"/>
  <c r="F1662" i="2"/>
  <c r="F1663" i="2"/>
  <c r="F1667" i="2"/>
  <c r="F1666" i="2" s="1"/>
  <c r="F1665" i="2" s="1"/>
  <c r="F1672" i="2"/>
  <c r="F1676" i="2"/>
  <c r="F1679" i="2"/>
  <c r="F1687" i="2"/>
  <c r="F1686" i="2" s="1"/>
  <c r="F1690" i="2"/>
  <c r="F1689" i="2" s="1"/>
  <c r="F1695" i="2"/>
  <c r="F1701" i="2"/>
  <c r="F1700" i="2" s="1"/>
  <c r="F1699" i="2" s="1"/>
  <c r="F1698" i="2" s="1"/>
  <c r="F1697" i="2" s="1"/>
  <c r="F1707" i="2"/>
  <c r="F1706" i="2" s="1"/>
  <c r="F1705" i="2" s="1"/>
  <c r="F1704" i="2" s="1"/>
  <c r="F1703" i="2" s="1"/>
  <c r="F1714" i="2"/>
  <c r="F1715" i="2"/>
  <c r="F1716" i="2"/>
  <c r="F1718" i="2"/>
  <c r="F1717" i="2" s="1"/>
  <c r="F1724" i="2"/>
  <c r="H1724" i="2" s="1"/>
  <c r="F1725" i="2"/>
  <c r="H1725" i="2" s="1"/>
  <c r="F1728" i="2"/>
  <c r="H1728" i="2" s="1"/>
  <c r="F1729" i="2"/>
  <c r="H1729" i="2" s="1"/>
  <c r="F1732" i="2"/>
  <c r="F1739" i="2"/>
  <c r="F1738" i="2" s="1"/>
  <c r="F1737" i="2" s="1"/>
  <c r="F1736" i="2" s="1"/>
  <c r="F1735" i="2" s="1"/>
  <c r="F1746" i="2"/>
  <c r="F1745" i="2" s="1"/>
  <c r="F1744" i="2" s="1"/>
  <c r="F1743" i="2" s="1"/>
  <c r="F1752" i="2"/>
  <c r="F1760" i="2"/>
  <c r="F1759" i="2" s="1"/>
  <c r="F1758" i="2" s="1"/>
  <c r="F1764" i="2"/>
  <c r="F1763" i="2" s="1"/>
  <c r="F1762" i="2" s="1"/>
  <c r="F1769" i="2"/>
  <c r="F1772" i="2"/>
  <c r="F1776" i="2"/>
  <c r="F1778" i="2"/>
  <c r="F1782" i="2"/>
  <c r="F1781" i="2" s="1"/>
  <c r="F1780" i="2" s="1"/>
  <c r="F1787" i="2"/>
  <c r="F1790" i="2"/>
  <c r="F1792" i="2"/>
  <c r="F1797" i="2"/>
  <c r="F1800" i="2"/>
  <c r="F1799" i="2" s="1"/>
  <c r="F1798" i="2" s="1"/>
  <c r="F1804" i="2"/>
  <c r="F1803" i="2" s="1"/>
  <c r="F1802" i="2" s="1"/>
  <c r="F1809" i="2"/>
  <c r="F1811" i="2"/>
  <c r="F1814" i="2"/>
  <c r="F1816" i="2"/>
  <c r="F1822" i="2"/>
  <c r="F1821" i="2" s="1"/>
  <c r="F1829" i="2"/>
  <c r="F1832" i="2"/>
  <c r="F1833" i="2"/>
  <c r="F1837" i="2"/>
  <c r="F1836" i="2" s="1"/>
  <c r="F1835" i="2" s="1"/>
  <c r="F1842" i="2"/>
  <c r="F1847" i="2"/>
  <c r="F1846" i="2" s="1"/>
  <c r="F1845" i="2" s="1"/>
  <c r="F1844" i="2" s="1"/>
  <c r="F1851" i="2"/>
  <c r="F1850" i="2" s="1"/>
  <c r="F1849" i="2" s="1"/>
  <c r="F1848" i="2" s="1"/>
  <c r="F1854" i="2"/>
  <c r="F1853" i="2" s="1"/>
  <c r="F1852" i="2" s="1"/>
  <c r="F1858" i="2"/>
  <c r="F1862" i="2"/>
  <c r="F1861" i="2" s="1"/>
  <c r="F1860" i="2" s="1"/>
  <c r="F1866" i="2"/>
  <c r="F1865" i="2" s="1"/>
  <c r="F1864" i="2" s="1"/>
  <c r="F1871" i="2"/>
  <c r="F1875" i="2"/>
  <c r="F1878" i="2"/>
  <c r="F1877" i="2" s="1"/>
  <c r="F1876" i="2" s="1"/>
  <c r="F1885" i="2"/>
  <c r="F1889" i="2"/>
  <c r="F1888" i="2" s="1"/>
  <c r="F1887" i="2" s="1"/>
  <c r="F1886" i="2" s="1"/>
  <c r="F1893" i="2"/>
  <c r="F1892" i="2" s="1"/>
  <c r="F1891" i="2" s="1"/>
  <c r="F1890" i="2" s="1"/>
  <c r="F1900" i="2"/>
  <c r="F1903" i="2"/>
  <c r="F1906" i="2"/>
  <c r="F1905" i="2" s="1"/>
  <c r="F1911" i="2"/>
  <c r="F1917" i="2"/>
  <c r="F1920" i="2"/>
  <c r="F1927" i="2"/>
  <c r="F1929" i="2"/>
  <c r="F1942" i="2"/>
  <c r="H1942" i="2" s="1"/>
  <c r="F1946" i="2"/>
  <c r="F1953" i="2"/>
  <c r="F1958" i="2"/>
  <c r="F1966" i="2"/>
  <c r="F1965" i="2" s="1"/>
  <c r="F1969" i="2"/>
  <c r="F1968" i="2" s="1"/>
  <c r="F1973" i="2"/>
  <c r="F1972" i="2" s="1"/>
  <c r="F1976" i="2"/>
  <c r="F1975" i="2" s="1"/>
  <c r="F1982" i="2"/>
  <c r="F1986" i="2"/>
  <c r="F1985" i="2" s="1"/>
  <c r="F1984" i="2" s="1"/>
  <c r="F1983" i="2" s="1"/>
  <c r="F1996" i="2"/>
  <c r="F1995" i="2" s="1"/>
  <c r="F1994" i="2" s="1"/>
  <c r="F1999" i="2"/>
  <c r="F1998" i="2" s="1"/>
  <c r="F1997" i="2" s="1"/>
  <c r="F2007" i="2"/>
  <c r="F2010" i="2"/>
  <c r="F2013" i="2"/>
  <c r="F2012" i="2" s="1"/>
  <c r="F2016" i="2"/>
  <c r="F2015" i="2" s="1"/>
  <c r="F2021" i="2"/>
  <c r="F2020" i="2" s="1"/>
  <c r="F2024" i="2"/>
  <c r="F2023" i="2" s="1"/>
  <c r="F2029" i="2"/>
  <c r="F2031" i="2"/>
  <c r="F2033" i="2"/>
  <c r="F2037" i="2"/>
  <c r="F2036" i="2" s="1"/>
  <c r="F2040" i="2"/>
  <c r="F2039" i="2" s="1"/>
  <c r="F2045" i="2"/>
  <c r="F2049" i="2"/>
  <c r="F2052" i="2"/>
  <c r="F2055" i="2"/>
  <c r="F2054" i="2" s="1"/>
  <c r="F2058" i="2"/>
  <c r="F2057" i="2" s="1"/>
  <c r="F2062" i="2"/>
  <c r="F2061" i="2" s="1"/>
  <c r="F2065" i="2"/>
  <c r="F2064" i="2" s="1"/>
  <c r="F2069" i="2"/>
  <c r="F2068" i="2" s="1"/>
  <c r="F2067" i="2" s="1"/>
  <c r="F2077" i="2"/>
  <c r="F2080" i="2"/>
  <c r="F2086" i="2"/>
  <c r="F2094" i="2"/>
  <c r="F2093" i="2" s="1"/>
  <c r="F2092" i="2" s="1"/>
  <c r="F2097" i="2"/>
  <c r="F2096" i="2" s="1"/>
  <c r="F2095" i="2" s="1"/>
  <c r="F2103" i="2"/>
  <c r="F2106" i="2"/>
  <c r="F2105" i="2" s="1"/>
  <c r="F2104" i="2" s="1"/>
  <c r="F2112" i="2"/>
  <c r="F2111" i="2" s="1"/>
  <c r="F2110" i="2" s="1"/>
  <c r="F2109" i="2" s="1"/>
  <c r="F2108" i="2" s="1"/>
  <c r="F2119" i="2"/>
  <c r="F2118" i="2" s="1"/>
  <c r="F2117" i="2" s="1"/>
  <c r="F2116" i="2" s="1"/>
  <c r="F2115" i="2" s="1"/>
  <c r="F2126" i="2"/>
  <c r="F2130" i="2"/>
  <c r="F2143" i="2"/>
  <c r="F2148" i="2"/>
  <c r="F2147" i="2" s="1"/>
  <c r="F2146" i="2" s="1"/>
  <c r="F2145" i="2" s="1"/>
  <c r="F2144" i="2" s="1"/>
  <c r="F2156" i="2"/>
  <c r="F2160" i="2"/>
  <c r="F2165" i="2"/>
  <c r="F2164" i="2" s="1"/>
  <c r="F2163" i="2" s="1"/>
  <c r="F2162" i="2" s="1"/>
  <c r="F2171" i="2"/>
  <c r="F2170" i="2" s="1"/>
  <c r="F2169" i="2" s="1"/>
  <c r="F2168" i="2" s="1"/>
  <c r="F2175" i="2"/>
  <c r="F2178" i="2"/>
  <c r="F2177" i="2" s="1"/>
  <c r="F2176" i="2" s="1"/>
  <c r="F2183" i="2"/>
  <c r="F2187" i="2"/>
  <c r="F2190" i="2"/>
  <c r="F2189" i="2" s="1"/>
  <c r="F2188" i="2" s="1"/>
  <c r="F2196" i="2"/>
  <c r="F2200" i="2"/>
  <c r="F2199" i="2" s="1"/>
  <c r="F2202" i="2"/>
  <c r="F2201" i="2" s="1"/>
  <c r="F2206" i="2"/>
  <c r="F2205" i="2" s="1"/>
  <c r="F2204" i="2" s="1"/>
  <c r="F2203" i="2" s="1"/>
  <c r="F2214" i="2"/>
  <c r="F2213" i="2" s="1"/>
  <c r="F2218" i="2"/>
  <c r="F2228" i="2"/>
  <c r="F2227" i="2" s="1"/>
  <c r="F2234" i="2"/>
  <c r="F2236" i="2"/>
  <c r="F2238" i="2"/>
  <c r="F2242" i="2"/>
  <c r="F2241" i="2" s="1"/>
  <c r="F2240" i="2" s="1"/>
  <c r="F2246" i="2"/>
  <c r="F2245" i="2" s="1"/>
  <c r="F2244" i="2" s="1"/>
  <c r="F2250" i="2"/>
  <c r="F2249" i="2" s="1"/>
  <c r="F2248" i="2" s="1"/>
  <c r="F2255" i="2"/>
  <c r="F2254" i="2" s="1"/>
  <c r="F2253" i="2" s="1"/>
  <c r="F2252" i="2" s="1"/>
  <c r="F2263" i="2"/>
  <c r="F2268" i="2"/>
  <c r="F2267" i="2" s="1"/>
  <c r="F2266" i="2" s="1"/>
  <c r="F2269" i="2"/>
  <c r="F2273" i="2"/>
  <c r="F2275" i="2"/>
  <c r="F2278" i="2"/>
  <c r="F2280" i="2"/>
  <c r="F2283" i="2"/>
  <c r="F2286" i="2"/>
  <c r="F2285" i="2" s="1"/>
  <c r="F2284" i="2" s="1"/>
  <c r="F2292" i="2"/>
  <c r="F2291" i="2" s="1"/>
  <c r="F2290" i="2" s="1"/>
  <c r="F2289" i="2" s="1"/>
  <c r="F2296" i="2"/>
  <c r="F2299" i="2"/>
  <c r="F2298" i="2" s="1"/>
  <c r="F2297" i="2" s="1"/>
  <c r="F2308" i="2"/>
  <c r="F2312" i="2"/>
  <c r="F2316" i="2"/>
  <c r="F2323" i="2"/>
  <c r="F2326" i="2"/>
  <c r="F2325" i="2" s="1"/>
  <c r="F2324" i="2" s="1"/>
  <c r="F2334" i="2"/>
  <c r="F2338" i="2"/>
  <c r="F2337" i="2" s="1"/>
  <c r="F2341" i="2"/>
  <c r="F2345" i="2"/>
  <c r="F2344" i="2" s="1"/>
  <c r="F2343" i="2" s="1"/>
  <c r="F2349" i="2"/>
  <c r="F2348" i="2" s="1"/>
  <c r="F2347" i="2" s="1"/>
  <c r="H307" i="2" l="1"/>
  <c r="F306" i="2"/>
  <c r="F2186" i="2"/>
  <c r="F2185" i="2" s="1"/>
  <c r="F2184" i="2" s="1"/>
  <c r="H2187" i="2"/>
  <c r="F2155" i="2"/>
  <c r="F2154" i="2" s="1"/>
  <c r="F2153" i="2" s="1"/>
  <c r="H2156" i="2"/>
  <c r="F2125" i="2"/>
  <c r="F2124" i="2" s="1"/>
  <c r="F2123" i="2" s="1"/>
  <c r="H2126" i="2"/>
  <c r="F2102" i="2"/>
  <c r="F2101" i="2" s="1"/>
  <c r="F2100" i="2" s="1"/>
  <c r="F2099" i="2" s="1"/>
  <c r="F2098" i="2" s="1"/>
  <c r="H2103" i="2"/>
  <c r="F1952" i="2"/>
  <c r="F1951" i="2" s="1"/>
  <c r="F1950" i="2" s="1"/>
  <c r="F1949" i="2" s="1"/>
  <c r="H1953" i="2"/>
  <c r="F1926" i="2"/>
  <c r="F1925" i="2" s="1"/>
  <c r="H1927" i="2"/>
  <c r="F1810" i="2"/>
  <c r="H1811" i="2"/>
  <c r="F1796" i="2"/>
  <c r="F1795" i="2" s="1"/>
  <c r="F1794" i="2" s="1"/>
  <c r="H1797" i="2"/>
  <c r="F1768" i="2"/>
  <c r="F1767" i="2" s="1"/>
  <c r="F1766" i="2" s="1"/>
  <c r="H1769" i="2"/>
  <c r="F1487" i="2"/>
  <c r="F1486" i="2" s="1"/>
  <c r="F1485" i="2" s="1"/>
  <c r="F1484" i="2" s="1"/>
  <c r="F1483" i="2" s="1"/>
  <c r="F1482" i="2" s="1"/>
  <c r="H1488" i="2"/>
  <c r="F1462" i="2"/>
  <c r="F1461" i="2" s="1"/>
  <c r="F1460" i="2" s="1"/>
  <c r="H1463" i="2"/>
  <c r="F1353" i="2"/>
  <c r="F1352" i="2" s="1"/>
  <c r="H1354" i="2"/>
  <c r="F1273" i="2"/>
  <c r="F1272" i="2" s="1"/>
  <c r="F1271" i="2" s="1"/>
  <c r="H1274" i="2"/>
  <c r="F1247" i="2"/>
  <c r="F1246" i="2" s="1"/>
  <c r="F1245" i="2" s="1"/>
  <c r="F1244" i="2" s="1"/>
  <c r="F1243" i="2" s="1"/>
  <c r="H1248" i="2"/>
  <c r="F1112" i="2"/>
  <c r="F1111" i="2" s="1"/>
  <c r="F1110" i="2" s="1"/>
  <c r="H1113" i="2"/>
  <c r="F1095" i="2"/>
  <c r="F1094" i="2" s="1"/>
  <c r="F1093" i="2" s="1"/>
  <c r="F1092" i="2" s="1"/>
  <c r="H1096" i="2"/>
  <c r="F1059" i="2"/>
  <c r="H1060" i="2"/>
  <c r="F825" i="2"/>
  <c r="F824" i="2" s="1"/>
  <c r="F823" i="2" s="1"/>
  <c r="H826" i="2"/>
  <c r="F800" i="2"/>
  <c r="F799" i="2" s="1"/>
  <c r="F795" i="2" s="1"/>
  <c r="H801" i="2"/>
  <c r="F777" i="2"/>
  <c r="H777" i="2" s="1"/>
  <c r="H778" i="2"/>
  <c r="F736" i="2"/>
  <c r="F735" i="2" s="1"/>
  <c r="F734" i="2" s="1"/>
  <c r="F733" i="2" s="1"/>
  <c r="H737" i="2"/>
  <c r="F662" i="2"/>
  <c r="F661" i="2" s="1"/>
  <c r="F660" i="2" s="1"/>
  <c r="H663" i="2"/>
  <c r="F2311" i="2"/>
  <c r="F2310" i="2" s="1"/>
  <c r="F2309" i="2" s="1"/>
  <c r="H2312" i="2"/>
  <c r="F2195" i="2"/>
  <c r="H2196" i="2"/>
  <c r="F2322" i="2"/>
  <c r="F2321" i="2" s="1"/>
  <c r="F2320" i="2" s="1"/>
  <c r="F2318" i="2" s="1"/>
  <c r="F2317" i="2" s="1"/>
  <c r="H2323" i="2"/>
  <c r="F2282" i="2"/>
  <c r="F2277" i="2" s="1"/>
  <c r="F2276" i="2" s="1"/>
  <c r="H2283" i="2"/>
  <c r="F2274" i="2"/>
  <c r="H2275" i="2"/>
  <c r="F2262" i="2"/>
  <c r="F2261" i="2" s="1"/>
  <c r="F2260" i="2" s="1"/>
  <c r="F2259" i="2" s="1"/>
  <c r="H2263" i="2"/>
  <c r="F2233" i="2"/>
  <c r="F2232" i="2" s="1"/>
  <c r="H2234" i="2"/>
  <c r="F2159" i="2"/>
  <c r="F2158" i="2" s="1"/>
  <c r="F2157" i="2" s="1"/>
  <c r="F2152" i="2" s="1"/>
  <c r="F2151" i="2" s="1"/>
  <c r="H2160" i="2"/>
  <c r="F2129" i="2"/>
  <c r="F2128" i="2" s="1"/>
  <c r="F2127" i="2" s="1"/>
  <c r="F2122" i="2" s="1"/>
  <c r="F2121" i="2" s="1"/>
  <c r="F2114" i="2" s="1"/>
  <c r="H2130" i="2"/>
  <c r="F2085" i="2"/>
  <c r="F2084" i="2" s="1"/>
  <c r="F2083" i="2" s="1"/>
  <c r="F2082" i="2" s="1"/>
  <c r="F2081" i="2" s="1"/>
  <c r="H2086" i="2"/>
  <c r="F2076" i="2"/>
  <c r="F2075" i="2" s="1"/>
  <c r="H2077" i="2"/>
  <c r="F2044" i="2"/>
  <c r="F2043" i="2" s="1"/>
  <c r="F2042" i="2" s="1"/>
  <c r="H2045" i="2"/>
  <c r="F1957" i="2"/>
  <c r="F1956" i="2" s="1"/>
  <c r="F1955" i="2" s="1"/>
  <c r="F1954" i="2" s="1"/>
  <c r="H1958" i="2"/>
  <c r="F1928" i="2"/>
  <c r="H1928" i="2" s="1"/>
  <c r="H1929" i="2"/>
  <c r="F1910" i="2"/>
  <c r="F1909" i="2" s="1"/>
  <c r="F1908" i="2" s="1"/>
  <c r="H1911" i="2"/>
  <c r="F1884" i="2"/>
  <c r="F1883" i="2" s="1"/>
  <c r="F1882" i="2" s="1"/>
  <c r="F1881" i="2" s="1"/>
  <c r="F1880" i="2" s="1"/>
  <c r="H1885" i="2"/>
  <c r="F1857" i="2"/>
  <c r="H1858" i="2"/>
  <c r="F1841" i="2"/>
  <c r="F1840" i="2" s="1"/>
  <c r="F1839" i="2" s="1"/>
  <c r="H1842" i="2"/>
  <c r="F1786" i="2"/>
  <c r="F1785" i="2" s="1"/>
  <c r="F1784" i="2" s="1"/>
  <c r="H1787" i="2"/>
  <c r="F1771" i="2"/>
  <c r="F1770" i="2" s="1"/>
  <c r="H1772" i="2"/>
  <c r="F1751" i="2"/>
  <c r="F1750" i="2" s="1"/>
  <c r="F1749" i="2" s="1"/>
  <c r="F1748" i="2" s="1"/>
  <c r="F1742" i="2" s="1"/>
  <c r="F1741" i="2" s="1"/>
  <c r="H1752" i="2"/>
  <c r="F1731" i="2"/>
  <c r="F1730" i="2" s="1"/>
  <c r="H1732" i="2"/>
  <c r="F1694" i="2"/>
  <c r="F1693" i="2" s="1"/>
  <c r="F1692" i="2" s="1"/>
  <c r="H1695" i="2"/>
  <c r="F1675" i="2"/>
  <c r="F1674" i="2" s="1"/>
  <c r="H1676" i="2"/>
  <c r="F1661" i="2"/>
  <c r="F1660" i="2" s="1"/>
  <c r="H1662" i="2"/>
  <c r="F1611" i="2"/>
  <c r="H1612" i="2"/>
  <c r="F1597" i="2"/>
  <c r="F1596" i="2" s="1"/>
  <c r="F1595" i="2" s="1"/>
  <c r="F1594" i="2" s="1"/>
  <c r="F1593" i="2" s="1"/>
  <c r="F1592" i="2" s="1"/>
  <c r="H1598" i="2"/>
  <c r="F1566" i="2"/>
  <c r="F1565" i="2" s="1"/>
  <c r="F1564" i="2" s="1"/>
  <c r="F1563" i="2" s="1"/>
  <c r="F1562" i="2" s="1"/>
  <c r="F1561" i="2" s="1"/>
  <c r="H1567" i="2"/>
  <c r="F1494" i="2"/>
  <c r="F1493" i="2" s="1"/>
  <c r="F1492" i="2" s="1"/>
  <c r="F1491" i="2" s="1"/>
  <c r="H1495" i="2"/>
  <c r="F1458" i="2"/>
  <c r="F1457" i="2" s="1"/>
  <c r="F1456" i="2" s="1"/>
  <c r="H1459" i="2"/>
  <c r="F1436" i="2"/>
  <c r="F1435" i="2" s="1"/>
  <c r="F1434" i="2" s="1"/>
  <c r="F1429" i="2" s="1"/>
  <c r="F1428" i="2" s="1"/>
  <c r="H1437" i="2"/>
  <c r="F1413" i="2"/>
  <c r="F1412" i="2" s="1"/>
  <c r="F1411" i="2" s="1"/>
  <c r="H1414" i="2"/>
  <c r="F1405" i="2"/>
  <c r="F1404" i="2" s="1"/>
  <c r="F1403" i="2" s="1"/>
  <c r="H1406" i="2"/>
  <c r="F1388" i="2"/>
  <c r="F1387" i="2" s="1"/>
  <c r="F1386" i="2" s="1"/>
  <c r="H1389" i="2"/>
  <c r="F1277" i="2"/>
  <c r="F1276" i="2" s="1"/>
  <c r="F1275" i="2" s="1"/>
  <c r="H1278" i="2"/>
  <c r="F1261" i="2"/>
  <c r="F1260" i="2" s="1"/>
  <c r="H1262" i="2"/>
  <c r="F1204" i="2"/>
  <c r="F1203" i="2" s="1"/>
  <c r="F1202" i="2" s="1"/>
  <c r="F1201" i="2" s="1"/>
  <c r="H1205" i="2"/>
  <c r="F1182" i="2"/>
  <c r="F1181" i="2" s="1"/>
  <c r="F1180" i="2" s="1"/>
  <c r="H1183" i="2"/>
  <c r="F1120" i="2"/>
  <c r="F1119" i="2" s="1"/>
  <c r="F1118" i="2" s="1"/>
  <c r="F1117" i="2" s="1"/>
  <c r="F1116" i="2" s="1"/>
  <c r="F1115" i="2" s="1"/>
  <c r="H1121" i="2"/>
  <c r="F1062" i="2"/>
  <c r="H1063" i="2"/>
  <c r="F1045" i="2"/>
  <c r="H1046" i="2"/>
  <c r="F1031" i="2"/>
  <c r="F1030" i="2" s="1"/>
  <c r="F1029" i="2" s="1"/>
  <c r="H1032" i="2"/>
  <c r="F1014" i="2"/>
  <c r="F1013" i="2" s="1"/>
  <c r="F1012" i="2" s="1"/>
  <c r="H1015" i="2"/>
  <c r="F1006" i="2"/>
  <c r="H1007" i="2"/>
  <c r="F918" i="2"/>
  <c r="F917" i="2" s="1"/>
  <c r="F916" i="2" s="1"/>
  <c r="H919" i="2"/>
  <c r="F847" i="2"/>
  <c r="F846" i="2" s="1"/>
  <c r="F845" i="2" s="1"/>
  <c r="H848" i="2"/>
  <c r="F839" i="2"/>
  <c r="F838" i="2" s="1"/>
  <c r="F837" i="2" s="1"/>
  <c r="H840" i="2"/>
  <c r="F829" i="2"/>
  <c r="F828" i="2" s="1"/>
  <c r="F827" i="2" s="1"/>
  <c r="H830" i="2"/>
  <c r="F815" i="2"/>
  <c r="H816" i="2"/>
  <c r="F781" i="2"/>
  <c r="F780" i="2" s="1"/>
  <c r="H782" i="2"/>
  <c r="F767" i="2"/>
  <c r="F766" i="2" s="1"/>
  <c r="F765" i="2" s="1"/>
  <c r="F760" i="2" s="1"/>
  <c r="F755" i="2" s="1"/>
  <c r="F754" i="2" s="1"/>
  <c r="H768" i="2"/>
  <c r="F745" i="2"/>
  <c r="F744" i="2" s="1"/>
  <c r="F743" i="2" s="1"/>
  <c r="F742" i="2" s="1"/>
  <c r="F741" i="2" s="1"/>
  <c r="F740" i="2" s="1"/>
  <c r="H746" i="2"/>
  <c r="F726" i="2"/>
  <c r="F725" i="2" s="1"/>
  <c r="F724" i="2" s="1"/>
  <c r="F723" i="2" s="1"/>
  <c r="H727" i="2"/>
  <c r="F716" i="2"/>
  <c r="F715" i="2" s="1"/>
  <c r="F714" i="2" s="1"/>
  <c r="H717" i="2"/>
  <c r="F702" i="2"/>
  <c r="F701" i="2" s="1"/>
  <c r="F700" i="2" s="1"/>
  <c r="H703" i="2"/>
  <c r="F681" i="2"/>
  <c r="H682" i="2"/>
  <c r="F667" i="2"/>
  <c r="F666" i="2" s="1"/>
  <c r="F665" i="2" s="1"/>
  <c r="H668" i="2"/>
  <c r="F650" i="2"/>
  <c r="F649" i="2" s="1"/>
  <c r="F648" i="2" s="1"/>
  <c r="H651" i="2"/>
  <c r="F622" i="2"/>
  <c r="F621" i="2" s="1"/>
  <c r="F620" i="2" s="1"/>
  <c r="H623" i="2"/>
  <c r="F607" i="2"/>
  <c r="F606" i="2" s="1"/>
  <c r="F605" i="2" s="1"/>
  <c r="F596" i="2" s="1"/>
  <c r="F595" i="2" s="1"/>
  <c r="H608" i="2"/>
  <c r="F587" i="2"/>
  <c r="F584" i="2" s="1"/>
  <c r="F580" i="2" s="1"/>
  <c r="F579" i="2" s="1"/>
  <c r="H588" i="2"/>
  <c r="F551" i="2"/>
  <c r="F550" i="2" s="1"/>
  <c r="F549" i="2" s="1"/>
  <c r="F548" i="2" s="1"/>
  <c r="H552" i="2"/>
  <c r="F488" i="2"/>
  <c r="F487" i="2" s="1"/>
  <c r="F486" i="2" s="1"/>
  <c r="H489" i="2"/>
  <c r="F410" i="2"/>
  <c r="F409" i="2" s="1"/>
  <c r="F408" i="2" s="1"/>
  <c r="H411" i="2"/>
  <c r="F379" i="2"/>
  <c r="F378" i="2" s="1"/>
  <c r="F377" i="2" s="1"/>
  <c r="H380" i="2"/>
  <c r="F208" i="2"/>
  <c r="F207" i="2" s="1"/>
  <c r="F206" i="2" s="1"/>
  <c r="F205" i="2" s="1"/>
  <c r="H209" i="2"/>
  <c r="F146" i="2"/>
  <c r="F145" i="2" s="1"/>
  <c r="F144" i="2" s="1"/>
  <c r="F143" i="2" s="1"/>
  <c r="H147" i="2"/>
  <c r="F2340" i="2"/>
  <c r="H2340" i="2" s="1"/>
  <c r="H2341" i="2"/>
  <c r="F2174" i="2"/>
  <c r="F2173" i="2" s="1"/>
  <c r="F2172" i="2" s="1"/>
  <c r="H2175" i="2"/>
  <c r="F1870" i="2"/>
  <c r="F1869" i="2" s="1"/>
  <c r="F1868" i="2" s="1"/>
  <c r="H1871" i="2"/>
  <c r="F1658" i="2"/>
  <c r="F1657" i="2" s="1"/>
  <c r="H1659" i="2"/>
  <c r="F1341" i="2"/>
  <c r="F1340" i="2" s="1"/>
  <c r="F1339" i="2" s="1"/>
  <c r="H1342" i="2"/>
  <c r="F1286" i="2"/>
  <c r="F1285" i="2" s="1"/>
  <c r="F1279" i="2" s="1"/>
  <c r="F1270" i="2" s="1"/>
  <c r="H1287" i="2"/>
  <c r="F911" i="2"/>
  <c r="F910" i="2" s="1"/>
  <c r="H912" i="2"/>
  <c r="F678" i="2"/>
  <c r="H679" i="2"/>
  <c r="F634" i="2"/>
  <c r="F633" i="2" s="1"/>
  <c r="F632" i="2" s="1"/>
  <c r="H635" i="2"/>
  <c r="F484" i="2"/>
  <c r="F483" i="2" s="1"/>
  <c r="F482" i="2" s="1"/>
  <c r="H485" i="2"/>
  <c r="F359" i="2"/>
  <c r="F358" i="2" s="1"/>
  <c r="H360" i="2"/>
  <c r="F343" i="2"/>
  <c r="F342" i="2" s="1"/>
  <c r="H345" i="2"/>
  <c r="F226" i="2"/>
  <c r="F225" i="2" s="1"/>
  <c r="F224" i="2" s="1"/>
  <c r="F223" i="2" s="1"/>
  <c r="F222" i="2" s="1"/>
  <c r="F221" i="2" s="1"/>
  <c r="H227" i="2"/>
  <c r="F203" i="2"/>
  <c r="F202" i="2" s="1"/>
  <c r="F201" i="2" s="1"/>
  <c r="F200" i="2" s="1"/>
  <c r="H204" i="2"/>
  <c r="F183" i="2"/>
  <c r="F182" i="2" s="1"/>
  <c r="F181" i="2" s="1"/>
  <c r="F180" i="2" s="1"/>
  <c r="H184" i="2"/>
  <c r="F160" i="2"/>
  <c r="F159" i="2" s="1"/>
  <c r="F158" i="2" s="1"/>
  <c r="F157" i="2" s="1"/>
  <c r="F156" i="2" s="1"/>
  <c r="F155" i="2" s="1"/>
  <c r="H161" i="2"/>
  <c r="F141" i="2"/>
  <c r="F140" i="2" s="1"/>
  <c r="F139" i="2" s="1"/>
  <c r="H142" i="2"/>
  <c r="F2333" i="2"/>
  <c r="F2332" i="2" s="1"/>
  <c r="F2331" i="2" s="1"/>
  <c r="F2330" i="2" s="1"/>
  <c r="H2334" i="2"/>
  <c r="F2050" i="2"/>
  <c r="H2052" i="2"/>
  <c r="F2009" i="2"/>
  <c r="F2008" i="2" s="1"/>
  <c r="H2010" i="2"/>
  <c r="F1945" i="2"/>
  <c r="F1944" i="2" s="1"/>
  <c r="H1946" i="2"/>
  <c r="F1919" i="2"/>
  <c r="F1916" i="2" s="1"/>
  <c r="F1915" i="2" s="1"/>
  <c r="F1914" i="2" s="1"/>
  <c r="F1913" i="2" s="1"/>
  <c r="F1912" i="2" s="1"/>
  <c r="H1920" i="2"/>
  <c r="F1808" i="2"/>
  <c r="H1809" i="2"/>
  <c r="F1641" i="2"/>
  <c r="F1640" i="2" s="1"/>
  <c r="H1642" i="2"/>
  <c r="F1619" i="2"/>
  <c r="F1618" i="2" s="1"/>
  <c r="H1620" i="2"/>
  <c r="F1607" i="2"/>
  <c r="H1608" i="2"/>
  <c r="F1409" i="2"/>
  <c r="F1408" i="2" s="1"/>
  <c r="F1407" i="2" s="1"/>
  <c r="H1410" i="2"/>
  <c r="F1392" i="2"/>
  <c r="F1391" i="2" s="1"/>
  <c r="F1390" i="2" s="1"/>
  <c r="H1393" i="2"/>
  <c r="F1367" i="2"/>
  <c r="F1366" i="2" s="1"/>
  <c r="F1365" i="2" s="1"/>
  <c r="F1364" i="2" s="1"/>
  <c r="H1368" i="2"/>
  <c r="F1350" i="2"/>
  <c r="F1349" i="2" s="1"/>
  <c r="H1351" i="2"/>
  <c r="F1326" i="2"/>
  <c r="F1325" i="2" s="1"/>
  <c r="F1324" i="2" s="1"/>
  <c r="H1327" i="2"/>
  <c r="F1268" i="2"/>
  <c r="F1267" i="2" s="1"/>
  <c r="F1266" i="2" s="1"/>
  <c r="H1269" i="2"/>
  <c r="F1213" i="2"/>
  <c r="F1212" i="2" s="1"/>
  <c r="F1211" i="2" s="1"/>
  <c r="F1206" i="2" s="1"/>
  <c r="H1214" i="2"/>
  <c r="F1190" i="2"/>
  <c r="F1189" i="2" s="1"/>
  <c r="F1188" i="2" s="1"/>
  <c r="H1191" i="2"/>
  <c r="F1108" i="2"/>
  <c r="F1107" i="2" s="1"/>
  <c r="H1109" i="2"/>
  <c r="F1090" i="2"/>
  <c r="F1089" i="2" s="1"/>
  <c r="F1088" i="2" s="1"/>
  <c r="F1075" i="2" s="1"/>
  <c r="H1091" i="2"/>
  <c r="F1039" i="2"/>
  <c r="F1038" i="2" s="1"/>
  <c r="F1037" i="2" s="1"/>
  <c r="H1040" i="2"/>
  <c r="F1023" i="2"/>
  <c r="F1022" i="2" s="1"/>
  <c r="F1021" i="2" s="1"/>
  <c r="H1024" i="2"/>
  <c r="F908" i="2"/>
  <c r="F907" i="2" s="1"/>
  <c r="H909" i="2"/>
  <c r="F879" i="2"/>
  <c r="F878" i="2" s="1"/>
  <c r="F877" i="2" s="1"/>
  <c r="H880" i="2"/>
  <c r="F867" i="2"/>
  <c r="F866" i="2" s="1"/>
  <c r="F865" i="2" s="1"/>
  <c r="H868" i="2"/>
  <c r="F843" i="2"/>
  <c r="F842" i="2" s="1"/>
  <c r="F841" i="2" s="1"/>
  <c r="H844" i="2"/>
  <c r="F821" i="2"/>
  <c r="F820" i="2" s="1"/>
  <c r="F819" i="2" s="1"/>
  <c r="H822" i="2"/>
  <c r="F710" i="2"/>
  <c r="F709" i="2" s="1"/>
  <c r="F708" i="2" s="1"/>
  <c r="H711" i="2"/>
  <c r="F693" i="2"/>
  <c r="F692" i="2" s="1"/>
  <c r="F691" i="2" s="1"/>
  <c r="F690" i="2" s="1"/>
  <c r="H694" i="2"/>
  <c r="F630" i="2"/>
  <c r="F629" i="2" s="1"/>
  <c r="F628" i="2" s="1"/>
  <c r="H631" i="2"/>
  <c r="F571" i="2"/>
  <c r="F570" i="2" s="1"/>
  <c r="H572" i="2"/>
  <c r="F502" i="2"/>
  <c r="F501" i="2" s="1"/>
  <c r="F500" i="2" s="1"/>
  <c r="F499" i="2" s="1"/>
  <c r="H503" i="2"/>
  <c r="F451" i="2"/>
  <c r="H452" i="2"/>
  <c r="F356" i="2"/>
  <c r="F355" i="2" s="1"/>
  <c r="H357" i="2"/>
  <c r="F275" i="2"/>
  <c r="F274" i="2" s="1"/>
  <c r="F273" i="2" s="1"/>
  <c r="F272" i="2" s="1"/>
  <c r="H276" i="2"/>
  <c r="F195" i="2"/>
  <c r="F194" i="2" s="1"/>
  <c r="F193" i="2" s="1"/>
  <c r="H196" i="2"/>
  <c r="F88" i="2"/>
  <c r="F87" i="2" s="1"/>
  <c r="H89" i="2"/>
  <c r="F2315" i="2"/>
  <c r="F2314" i="2" s="1"/>
  <c r="F2313" i="2" s="1"/>
  <c r="H2316" i="2"/>
  <c r="F2295" i="2"/>
  <c r="F2294" i="2" s="1"/>
  <c r="F2293" i="2" s="1"/>
  <c r="F2288" i="2" s="1"/>
  <c r="H2296" i="2"/>
  <c r="F2272" i="2"/>
  <c r="F2271" i="2" s="1"/>
  <c r="F2265" i="2" s="1"/>
  <c r="H2273" i="2"/>
  <c r="F2028" i="2"/>
  <c r="F2027" i="2" s="1"/>
  <c r="H2029" i="2"/>
  <c r="F1671" i="2"/>
  <c r="F1670" i="2" s="1"/>
  <c r="F1669" i="2" s="1"/>
  <c r="H1672" i="2"/>
  <c r="F1609" i="2"/>
  <c r="H1610" i="2"/>
  <c r="F1529" i="2"/>
  <c r="F1528" i="2" s="1"/>
  <c r="F1527" i="2" s="1"/>
  <c r="H1530" i="2"/>
  <c r="F1384" i="2"/>
  <c r="F1383" i="2" s="1"/>
  <c r="F1382" i="2" s="1"/>
  <c r="H1385" i="2"/>
  <c r="F1177" i="2"/>
  <c r="F1176" i="2" s="1"/>
  <c r="F1175" i="2" s="1"/>
  <c r="H1178" i="2"/>
  <c r="F1156" i="2"/>
  <c r="F1155" i="2" s="1"/>
  <c r="F1154" i="2" s="1"/>
  <c r="F1002" i="2"/>
  <c r="H1003" i="2"/>
  <c r="F859" i="2"/>
  <c r="F858" i="2" s="1"/>
  <c r="F857" i="2" s="1"/>
  <c r="H860" i="2"/>
  <c r="F646" i="2"/>
  <c r="F645" i="2" s="1"/>
  <c r="F644" i="2" s="1"/>
  <c r="H647" i="2"/>
  <c r="F29" i="2"/>
  <c r="F28" i="2" s="1"/>
  <c r="F27" i="2" s="1"/>
  <c r="H30" i="2"/>
  <c r="F2182" i="2"/>
  <c r="F2181" i="2" s="1"/>
  <c r="F2180" i="2" s="1"/>
  <c r="H2183" i="2"/>
  <c r="F2307" i="2"/>
  <c r="F2306" i="2" s="1"/>
  <c r="F2305" i="2" s="1"/>
  <c r="H2308" i="2"/>
  <c r="F2217" i="2"/>
  <c r="F2216" i="2" s="1"/>
  <c r="F2212" i="2" s="1"/>
  <c r="F2211" i="2" s="1"/>
  <c r="F2210" i="2" s="1"/>
  <c r="F2209" i="2" s="1"/>
  <c r="H2218" i="2"/>
  <c r="F2142" i="2"/>
  <c r="F2141" i="2" s="1"/>
  <c r="F2140" i="2" s="1"/>
  <c r="F2139" i="2" s="1"/>
  <c r="F2138" i="2" s="1"/>
  <c r="F2131" i="2" s="1"/>
  <c r="H2143" i="2"/>
  <c r="F2079" i="2"/>
  <c r="F2078" i="2" s="1"/>
  <c r="H2080" i="2"/>
  <c r="F2048" i="2"/>
  <c r="F2047" i="2" s="1"/>
  <c r="H2049" i="2"/>
  <c r="F2006" i="2"/>
  <c r="F2005" i="2" s="1"/>
  <c r="H2007" i="2"/>
  <c r="F1981" i="2"/>
  <c r="F1980" i="2" s="1"/>
  <c r="F1979" i="2" s="1"/>
  <c r="F1978" i="2" s="1"/>
  <c r="H1982" i="2"/>
  <c r="F1902" i="2"/>
  <c r="F1899" i="2" s="1"/>
  <c r="F1898" i="2" s="1"/>
  <c r="H1903" i="2"/>
  <c r="F1874" i="2"/>
  <c r="F1873" i="2" s="1"/>
  <c r="F1872" i="2" s="1"/>
  <c r="H1875" i="2"/>
  <c r="F1831" i="2"/>
  <c r="F1828" i="2" s="1"/>
  <c r="F1820" i="2" s="1"/>
  <c r="H1832" i="2"/>
  <c r="F1678" i="2"/>
  <c r="F1677" i="2" s="1"/>
  <c r="H1679" i="2"/>
  <c r="F1649" i="2"/>
  <c r="F1648" i="2" s="1"/>
  <c r="F1647" i="2" s="1"/>
  <c r="H1650" i="2"/>
  <c r="F1638" i="2"/>
  <c r="F1637" i="2" s="1"/>
  <c r="H1639" i="2"/>
  <c r="F1627" i="2"/>
  <c r="F1626" i="2" s="1"/>
  <c r="H1628" i="2"/>
  <c r="F1616" i="2"/>
  <c r="F1615" i="2" s="1"/>
  <c r="H1617" i="2"/>
  <c r="F1604" i="2"/>
  <c r="F1603" i="2" s="1"/>
  <c r="H1605" i="2"/>
  <c r="F1546" i="2"/>
  <c r="F1545" i="2" s="1"/>
  <c r="F1538" i="2"/>
  <c r="F1537" i="2" s="1"/>
  <c r="F1536" i="2" s="1"/>
  <c r="F1531" i="2" s="1"/>
  <c r="H1539" i="2"/>
  <c r="F1525" i="2"/>
  <c r="F1524" i="2" s="1"/>
  <c r="F1523" i="2" s="1"/>
  <c r="F1510" i="2" s="1"/>
  <c r="H1526" i="2"/>
  <c r="F1499" i="2"/>
  <c r="F1498" i="2" s="1"/>
  <c r="F1497" i="2" s="1"/>
  <c r="F1496" i="2" s="1"/>
  <c r="H1500" i="2"/>
  <c r="F1474" i="2"/>
  <c r="F1473" i="2" s="1"/>
  <c r="F1472" i="2" s="1"/>
  <c r="F1471" i="2" s="1"/>
  <c r="F1470" i="2" s="1"/>
  <c r="H1475" i="2"/>
  <c r="F1420" i="2"/>
  <c r="F1419" i="2" s="1"/>
  <c r="F1418" i="2" s="1"/>
  <c r="F1417" i="2" s="1"/>
  <c r="F1416" i="2" s="1"/>
  <c r="H1421" i="2"/>
  <c r="F1362" i="2"/>
  <c r="F1361" i="2" s="1"/>
  <c r="F1357" i="2" s="1"/>
  <c r="F1356" i="2" s="1"/>
  <c r="F1355" i="2" s="1"/>
  <c r="H1363" i="2"/>
  <c r="F1322" i="2"/>
  <c r="F1321" i="2" s="1"/>
  <c r="F1320" i="2" s="1"/>
  <c r="H1323" i="2"/>
  <c r="F1310" i="2"/>
  <c r="F1309" i="2" s="1"/>
  <c r="F1308" i="2" s="1"/>
  <c r="F1307" i="2" s="1"/>
  <c r="H1311" i="2"/>
  <c r="F1151" i="2"/>
  <c r="F1105" i="2"/>
  <c r="F1104" i="2" s="1"/>
  <c r="H1106" i="2"/>
  <c r="F1035" i="2"/>
  <c r="F1034" i="2" s="1"/>
  <c r="F1033" i="2" s="1"/>
  <c r="H1036" i="2"/>
  <c r="F1019" i="2"/>
  <c r="F1018" i="2" s="1"/>
  <c r="F1017" i="2" s="1"/>
  <c r="H1020" i="2"/>
  <c r="F951" i="2"/>
  <c r="H952" i="2"/>
  <c r="F922" i="2"/>
  <c r="F921" i="2" s="1"/>
  <c r="F920" i="2" s="1"/>
  <c r="H923" i="2"/>
  <c r="F785" i="2"/>
  <c r="F784" i="2" s="1"/>
  <c r="F783" i="2" s="1"/>
  <c r="H786" i="2"/>
  <c r="F752" i="2"/>
  <c r="F751" i="2" s="1"/>
  <c r="F750" i="2" s="1"/>
  <c r="F749" i="2" s="1"/>
  <c r="F748" i="2" s="1"/>
  <c r="F747" i="2" s="1"/>
  <c r="H753" i="2"/>
  <c r="F731" i="2"/>
  <c r="F730" i="2" s="1"/>
  <c r="F729" i="2" s="1"/>
  <c r="F728" i="2" s="1"/>
  <c r="H732" i="2"/>
  <c r="F720" i="2"/>
  <c r="F719" i="2" s="1"/>
  <c r="F718" i="2" s="1"/>
  <c r="H721" i="2"/>
  <c r="F706" i="2"/>
  <c r="F705" i="2" s="1"/>
  <c r="F704" i="2" s="1"/>
  <c r="H707" i="2"/>
  <c r="F685" i="2"/>
  <c r="H686" i="2"/>
  <c r="F671" i="2"/>
  <c r="F670" i="2" s="1"/>
  <c r="H672" i="2"/>
  <c r="F654" i="2"/>
  <c r="F653" i="2" s="1"/>
  <c r="F652" i="2" s="1"/>
  <c r="H655" i="2"/>
  <c r="F626" i="2"/>
  <c r="F625" i="2" s="1"/>
  <c r="F624" i="2" s="1"/>
  <c r="H627" i="2"/>
  <c r="F530" i="2"/>
  <c r="F529" i="2" s="1"/>
  <c r="F528" i="2" s="1"/>
  <c r="F527" i="2" s="1"/>
  <c r="H531" i="2"/>
  <c r="F448" i="2"/>
  <c r="H449" i="2"/>
  <c r="F415" i="2"/>
  <c r="F414" i="2" s="1"/>
  <c r="F413" i="2" s="1"/>
  <c r="F412" i="2" s="1"/>
  <c r="H416" i="2"/>
  <c r="F397" i="2"/>
  <c r="F396" i="2" s="1"/>
  <c r="F392" i="2" s="1"/>
  <c r="F391" i="2" s="1"/>
  <c r="H398" i="2"/>
  <c r="F367" i="2"/>
  <c r="F366" i="2" s="1"/>
  <c r="F365" i="2" s="1"/>
  <c r="H368" i="2"/>
  <c r="F352" i="2"/>
  <c r="F351" i="2" s="1"/>
  <c r="F347" i="2" s="1"/>
  <c r="H353" i="2"/>
  <c r="F328" i="2"/>
  <c r="F327" i="2" s="1"/>
  <c r="H329" i="2"/>
  <c r="F291" i="2"/>
  <c r="F290" i="2" s="1"/>
  <c r="F289" i="2" s="1"/>
  <c r="F288" i="2" s="1"/>
  <c r="F287" i="2" s="1"/>
  <c r="H292" i="2"/>
  <c r="F270" i="2"/>
  <c r="F269" i="2" s="1"/>
  <c r="F268" i="2" s="1"/>
  <c r="F267" i="2" s="1"/>
  <c r="F266" i="2" s="1"/>
  <c r="H271" i="2"/>
  <c r="F250" i="2"/>
  <c r="F249" i="2" s="1"/>
  <c r="H251" i="2"/>
  <c r="F240" i="2"/>
  <c r="F239" i="2" s="1"/>
  <c r="H241" i="2"/>
  <c r="F191" i="2"/>
  <c r="F190" i="2" s="1"/>
  <c r="F186" i="2" s="1"/>
  <c r="H192" i="2"/>
  <c r="F104" i="2"/>
  <c r="F103" i="2" s="1"/>
  <c r="F102" i="2" s="1"/>
  <c r="F101" i="2" s="1"/>
  <c r="H105" i="2"/>
  <c r="F43" i="2"/>
  <c r="F42" i="2" s="1"/>
  <c r="H44" i="2"/>
  <c r="F1723" i="2"/>
  <c r="F1722" i="2" s="1"/>
  <c r="F1131" i="2"/>
  <c r="F1130" i="2" s="1"/>
  <c r="F114" i="2"/>
  <c r="F113" i="2" s="1"/>
  <c r="F536" i="2"/>
  <c r="F535" i="2" s="1"/>
  <c r="F534" i="2" s="1"/>
  <c r="F533" i="2" s="1"/>
  <c r="F532" i="2" s="1"/>
  <c r="F429" i="2"/>
  <c r="F428" i="2" s="1"/>
  <c r="F427" i="2" s="1"/>
  <c r="F135" i="2"/>
  <c r="F134" i="2" s="1"/>
  <c r="F133" i="2" s="1"/>
  <c r="F2223" i="2"/>
  <c r="F2222" i="2" s="1"/>
  <c r="F524" i="2"/>
  <c r="F305" i="2"/>
  <c r="F74" i="2"/>
  <c r="F73" i="2" s="1"/>
  <c r="F72" i="2" s="1"/>
  <c r="F71" i="2" s="1"/>
  <c r="F70" i="2" s="1"/>
  <c r="F302" i="2"/>
  <c r="F301" i="2" s="1"/>
  <c r="F258" i="2"/>
  <c r="F257" i="2" s="1"/>
  <c r="F256" i="2" s="1"/>
  <c r="F255" i="2" s="1"/>
  <c r="F254" i="2" s="1"/>
  <c r="F253" i="2" s="1"/>
  <c r="F252" i="2" s="1"/>
  <c r="F52" i="2"/>
  <c r="F51" i="2" s="1"/>
  <c r="F50" i="2" s="1"/>
  <c r="F117" i="2"/>
  <c r="F1713" i="2"/>
  <c r="F1712" i="2" s="1"/>
  <c r="F1711" i="2" s="1"/>
  <c r="F440" i="2"/>
  <c r="F439" i="2" s="1"/>
  <c r="F438" i="2" s="1"/>
  <c r="F244" i="2"/>
  <c r="F243" i="2" s="1"/>
  <c r="F242" i="2" s="1"/>
  <c r="F236" i="2"/>
  <c r="F235" i="2" s="1"/>
  <c r="F218" i="2"/>
  <c r="F217" i="2" s="1"/>
  <c r="F176" i="2"/>
  <c r="F175" i="2" s="1"/>
  <c r="F174" i="2" s="1"/>
  <c r="F167" i="2"/>
  <c r="F166" i="2" s="1"/>
  <c r="F165" i="2" s="1"/>
  <c r="F61" i="2"/>
  <c r="F60" i="2" s="1"/>
  <c r="F59" i="2" s="1"/>
  <c r="F58" i="2" s="1"/>
  <c r="F57" i="2" s="1"/>
  <c r="F56" i="2" s="1"/>
  <c r="F39" i="2"/>
  <c r="F38" i="2" s="1"/>
  <c r="F324" i="2"/>
  <c r="F323" i="2" s="1"/>
  <c r="F83" i="2"/>
  <c r="F82" i="2" s="1"/>
  <c r="F1936" i="2"/>
  <c r="F1935" i="2" s="1"/>
  <c r="F521" i="2"/>
  <c r="F520" i="2" s="1"/>
  <c r="F339" i="2"/>
  <c r="F338" i="2" s="1"/>
  <c r="F213" i="2"/>
  <c r="F212" i="2" s="1"/>
  <c r="F109" i="2"/>
  <c r="F108" i="2" s="1"/>
  <c r="F22" i="2"/>
  <c r="F21" i="2" s="1"/>
  <c r="F20" i="2" s="1"/>
  <c r="F19" i="2" s="1"/>
  <c r="F18" i="2" s="1"/>
  <c r="F17" i="2" s="1"/>
  <c r="F1629" i="2"/>
  <c r="F2091" i="2"/>
  <c r="F2090" i="2" s="1"/>
  <c r="F2089" i="2" s="1"/>
  <c r="F1775" i="2"/>
  <c r="F1774" i="2" s="1"/>
  <c r="F1971" i="2"/>
  <c r="F461" i="2"/>
  <c r="F309" i="2"/>
  <c r="F308" i="2" s="1"/>
  <c r="F474" i="2"/>
  <c r="F473" i="2" s="1"/>
  <c r="F2235" i="2"/>
  <c r="F2030" i="2"/>
  <c r="F1993" i="2"/>
  <c r="F1992" i="2" s="1"/>
  <c r="F1991" i="2" s="1"/>
  <c r="F1990" i="2" s="1"/>
  <c r="F1964" i="2"/>
  <c r="F1727" i="2"/>
  <c r="F1726" i="2" s="1"/>
  <c r="F1552" i="2"/>
  <c r="F1551" i="2" s="1"/>
  <c r="F1550" i="2" s="1"/>
  <c r="F1332" i="2"/>
  <c r="F1331" i="2" s="1"/>
  <c r="F1330" i="2" s="1"/>
  <c r="F1329" i="2" s="1"/>
  <c r="F1328" i="2" s="1"/>
  <c r="F1217" i="2"/>
  <c r="F1143" i="2"/>
  <c r="F1142" i="2" s="1"/>
  <c r="F1126" i="2"/>
  <c r="F1125" i="2" s="1"/>
  <c r="F928" i="2"/>
  <c r="F927" i="2" s="1"/>
  <c r="F926" i="2" s="1"/>
  <c r="F925" i="2" s="1"/>
  <c r="F924" i="2" s="1"/>
  <c r="F91" i="2"/>
  <c r="F2053" i="2"/>
  <c r="F555" i="2"/>
  <c r="F434" i="2"/>
  <c r="F33" i="2"/>
  <c r="F32" i="2" s="1"/>
  <c r="F2035" i="2"/>
  <c r="F1296" i="2"/>
  <c r="F1295" i="2" s="1"/>
  <c r="F1294" i="2" s="1"/>
  <c r="F1256" i="2"/>
  <c r="F1255" i="2" s="1"/>
  <c r="F1148" i="2"/>
  <c r="F1147" i="2" s="1"/>
  <c r="F516" i="2"/>
  <c r="F515" i="2" s="1"/>
  <c r="F369" i="2"/>
  <c r="F334" i="2"/>
  <c r="F333" i="2" s="1"/>
  <c r="F319" i="2"/>
  <c r="F318" i="2" s="1"/>
  <c r="F47" i="2"/>
  <c r="F46" i="2" s="1"/>
  <c r="F45" i="2" s="1"/>
  <c r="F561" i="2"/>
  <c r="F560" i="2" s="1"/>
  <c r="F1569" i="2"/>
  <c r="F1568" i="2" s="1"/>
  <c r="F1813" i="2"/>
  <c r="F1812" i="2" s="1"/>
  <c r="F1168" i="2"/>
  <c r="F2011" i="2"/>
  <c r="F1789" i="2"/>
  <c r="F1788" i="2" s="1"/>
  <c r="F1221" i="2"/>
  <c r="F1220" i="2" s="1"/>
  <c r="F1219" i="2" s="1"/>
  <c r="F985" i="2"/>
  <c r="F1440" i="2"/>
  <c r="F1439" i="2" s="1"/>
  <c r="F1438" i="2" s="1"/>
  <c r="F2198" i="2"/>
  <c r="F2197" i="2" s="1"/>
  <c r="F1696" i="2"/>
  <c r="F1685" i="2"/>
  <c r="F1289" i="2"/>
  <c r="F1288" i="2" s="1"/>
  <c r="F978" i="2"/>
  <c r="F2060" i="2"/>
  <c r="F2019" i="2"/>
  <c r="F2051" i="2"/>
  <c r="F1904" i="2"/>
  <c r="F1941" i="2"/>
  <c r="F1940" i="2" s="1"/>
  <c r="F1314" i="2"/>
  <c r="F1313" i="2"/>
  <c r="F1312" i="2" s="1"/>
  <c r="F1231" i="2"/>
  <c r="F1230" i="2" s="1"/>
  <c r="F573" i="2"/>
  <c r="F458" i="2"/>
  <c r="F297" i="2"/>
  <c r="F296" i="2" s="1"/>
  <c r="F231" i="2"/>
  <c r="F230" i="2" s="1"/>
  <c r="F123" i="2"/>
  <c r="F122" i="2" s="1"/>
  <c r="F121" i="2" s="1"/>
  <c r="G650" i="2"/>
  <c r="F2264" i="2" l="1"/>
  <c r="F2258" i="2" s="1"/>
  <c r="F2257" i="2" s="1"/>
  <c r="F2319" i="2"/>
  <c r="F915" i="2"/>
  <c r="F914" i="2" s="1"/>
  <c r="F2074" i="2"/>
  <c r="F2073" i="2" s="1"/>
  <c r="F2231" i="2"/>
  <c r="F2230" i="2" s="1"/>
  <c r="F2221" i="2" s="1"/>
  <c r="F2208" i="2" s="1"/>
  <c r="F1807" i="2"/>
  <c r="F1806" i="2" s="1"/>
  <c r="F1773" i="2" s="1"/>
  <c r="F1455" i="2"/>
  <c r="F1454" i="2" s="1"/>
  <c r="F1453" i="2" s="1"/>
  <c r="F1757" i="2"/>
  <c r="F569" i="2"/>
  <c r="F568" i="2" s="1"/>
  <c r="F776" i="2"/>
  <c r="F775" i="2" s="1"/>
  <c r="F774" i="2" s="1"/>
  <c r="F773" i="2" s="1"/>
  <c r="F739" i="2" s="1"/>
  <c r="F1167" i="2"/>
  <c r="F2046" i="2"/>
  <c r="F354" i="2"/>
  <c r="F81" i="2"/>
  <c r="F80" i="2" s="1"/>
  <c r="F79" i="2" s="1"/>
  <c r="F265" i="2"/>
  <c r="F185" i="2"/>
  <c r="F1505" i="2"/>
  <c r="F611" i="2"/>
  <c r="F211" i="2"/>
  <c r="F2167" i="2"/>
  <c r="F1369" i="2"/>
  <c r="F1306" i="2"/>
  <c r="F836" i="2"/>
  <c r="F835" i="2" s="1"/>
  <c r="F554" i="2"/>
  <c r="F553" i="2" s="1"/>
  <c r="F2004" i="2"/>
  <c r="F2003" i="2" s="1"/>
  <c r="F669" i="2"/>
  <c r="F664" i="2" s="1"/>
  <c r="F699" i="2"/>
  <c r="F689" i="2" s="1"/>
  <c r="F248" i="2"/>
  <c r="F247" i="2" s="1"/>
  <c r="F2336" i="2"/>
  <c r="F2335" i="2" s="1"/>
  <c r="F2329" i="2" s="1"/>
  <c r="F2328" i="2" s="1"/>
  <c r="F818" i="2"/>
  <c r="F817" i="2" s="1"/>
  <c r="F906" i="2"/>
  <c r="F905" i="2" s="1"/>
  <c r="F904" i="2" s="1"/>
  <c r="F1819" i="2"/>
  <c r="F1348" i="2"/>
  <c r="F1338" i="2" s="1"/>
  <c r="F1673" i="2"/>
  <c r="F2304" i="2"/>
  <c r="F2303" i="2" s="1"/>
  <c r="F2302" i="2" s="1"/>
  <c r="F713" i="2"/>
  <c r="F712" i="2" s="1"/>
  <c r="F1653" i="2"/>
  <c r="F1948" i="2"/>
  <c r="F1947" i="2" s="1"/>
  <c r="F1636" i="2"/>
  <c r="F1179" i="2"/>
  <c r="F1606" i="2"/>
  <c r="F1602" i="2" s="1"/>
  <c r="F1601" i="2" s="1"/>
  <c r="F578" i="2"/>
  <c r="F1415" i="2"/>
  <c r="F1103" i="2"/>
  <c r="F1102" i="2" s="1"/>
  <c r="F1101" i="2" s="1"/>
  <c r="F472" i="2"/>
  <c r="F950" i="2"/>
  <c r="H951" i="2"/>
  <c r="F680" i="2"/>
  <c r="H680" i="2" s="1"/>
  <c r="H681" i="2"/>
  <c r="F386" i="2"/>
  <c r="F385" i="2" s="1"/>
  <c r="F2026" i="2"/>
  <c r="G649" i="2"/>
  <c r="H650" i="2"/>
  <c r="F457" i="2"/>
  <c r="H458" i="2"/>
  <c r="F1684" i="2"/>
  <c r="F1683" i="2" s="1"/>
  <c r="F1682" i="2" s="1"/>
  <c r="F433" i="2"/>
  <c r="F432" i="2" s="1"/>
  <c r="F426" i="2" s="1"/>
  <c r="H434" i="2"/>
  <c r="F1924" i="2"/>
  <c r="F1923" i="2" s="1"/>
  <c r="F1922" i="2" s="1"/>
  <c r="F1921" i="2" s="1"/>
  <c r="F1856" i="2"/>
  <c r="F1843" i="2" s="1"/>
  <c r="H1857" i="2"/>
  <c r="F2194" i="2"/>
  <c r="H2195" i="2"/>
  <c r="F1254" i="2"/>
  <c r="F1253" i="2" s="1"/>
  <c r="F1252" i="2" s="1"/>
  <c r="F1614" i="2"/>
  <c r="F1625" i="2"/>
  <c r="F1005" i="2"/>
  <c r="H1006" i="2"/>
  <c r="F1061" i="2"/>
  <c r="H1061" i="2" s="1"/>
  <c r="H1062" i="2"/>
  <c r="F1490" i="2"/>
  <c r="F447" i="2"/>
  <c r="H448" i="2"/>
  <c r="F684" i="2"/>
  <c r="H684" i="2" s="1"/>
  <c r="H685" i="2"/>
  <c r="F1001" i="2"/>
  <c r="H1002" i="2"/>
  <c r="F450" i="2"/>
  <c r="H450" i="2" s="1"/>
  <c r="H451" i="2"/>
  <c r="F677" i="2"/>
  <c r="H678" i="2"/>
  <c r="F814" i="2"/>
  <c r="H815" i="2"/>
  <c r="F1044" i="2"/>
  <c r="H1044" i="2" s="1"/>
  <c r="H1045" i="2"/>
  <c r="F1058" i="2"/>
  <c r="H1059" i="2"/>
  <c r="F594" i="2"/>
  <c r="F1124" i="2"/>
  <c r="F1123" i="2" s="1"/>
  <c r="F1122" i="2" s="1"/>
  <c r="F107" i="2"/>
  <c r="F106" i="2" s="1"/>
  <c r="F90" i="2" s="1"/>
  <c r="F1141" i="2"/>
  <c r="F1140" i="2" s="1"/>
  <c r="F1139" i="2" s="1"/>
  <c r="F1138" i="2" s="1"/>
  <c r="F332" i="2"/>
  <c r="F295" i="2"/>
  <c r="F294" i="2" s="1"/>
  <c r="F293" i="2" s="1"/>
  <c r="F69" i="2"/>
  <c r="F1989" i="2"/>
  <c r="F1934" i="2"/>
  <c r="F1933" i="2" s="1"/>
  <c r="F1932" i="2" s="1"/>
  <c r="F229" i="2"/>
  <c r="F228" i="2" s="1"/>
  <c r="F1897" i="2"/>
  <c r="F1896" i="2" s="1"/>
  <c r="F1895" i="2" s="1"/>
  <c r="F210" i="2"/>
  <c r="F199" i="2" s="1"/>
  <c r="F198" i="2" s="1"/>
  <c r="F16" i="2"/>
  <c r="F1069" i="2"/>
  <c r="F317" i="2"/>
  <c r="F164" i="2"/>
  <c r="F163" i="2" s="1"/>
  <c r="F162" i="2" s="1"/>
  <c r="F514" i="2"/>
  <c r="F513" i="2" s="1"/>
  <c r="F493" i="2" s="1"/>
  <c r="F492" i="2" s="1"/>
  <c r="F491" i="2" s="1"/>
  <c r="F31" i="2"/>
  <c r="F26" i="2" s="1"/>
  <c r="F25" i="2" s="1"/>
  <c r="F2088" i="2"/>
  <c r="F2087" i="2" s="1"/>
  <c r="F1721" i="2"/>
  <c r="F1710" i="2" s="1"/>
  <c r="F1709" i="2" s="1"/>
  <c r="F1963" i="2"/>
  <c r="F1962" i="2" s="1"/>
  <c r="F1961" i="2" s="1"/>
  <c r="F1960" i="2" s="1"/>
  <c r="F1959" i="2" s="1"/>
  <c r="F1402" i="2"/>
  <c r="F722" i="2"/>
  <c r="F2018" i="2" l="1"/>
  <c r="F1166" i="2"/>
  <c r="F1165" i="2" s="1"/>
  <c r="F1164" i="2" s="1"/>
  <c r="F1756" i="2"/>
  <c r="F1489" i="2"/>
  <c r="F1481" i="2" s="1"/>
  <c r="F1480" i="2" s="1"/>
  <c r="F547" i="2"/>
  <c r="F2301" i="2"/>
  <c r="F610" i="2"/>
  <c r="F1931" i="2"/>
  <c r="F688" i="2"/>
  <c r="F1652" i="2"/>
  <c r="F1651" i="2" s="1"/>
  <c r="F1613" i="2"/>
  <c r="F1600" i="2" s="1"/>
  <c r="F78" i="2"/>
  <c r="F55" i="2" s="1"/>
  <c r="F546" i="2"/>
  <c r="F545" i="2" s="1"/>
  <c r="F490" i="2" s="1"/>
  <c r="F1681" i="2"/>
  <c r="F1680" i="2" s="1"/>
  <c r="F1016" i="2"/>
  <c r="F446" i="2"/>
  <c r="H446" i="2" s="1"/>
  <c r="H447" i="2"/>
  <c r="F2193" i="2"/>
  <c r="F2192" i="2" s="1"/>
  <c r="F2161" i="2" s="1"/>
  <c r="H2194" i="2"/>
  <c r="F456" i="2"/>
  <c r="H457" i="2"/>
  <c r="H950" i="2"/>
  <c r="F946" i="2"/>
  <c r="F941" i="2" s="1"/>
  <c r="F1057" i="2"/>
  <c r="F1048" i="2" s="1"/>
  <c r="H1058" i="2"/>
  <c r="F813" i="2"/>
  <c r="F808" i="2" s="1"/>
  <c r="F807" i="2" s="1"/>
  <c r="H814" i="2"/>
  <c r="F676" i="2"/>
  <c r="H677" i="2"/>
  <c r="F1000" i="2"/>
  <c r="H1001" i="2"/>
  <c r="H1856" i="2"/>
  <c r="F1818" i="2"/>
  <c r="G648" i="2"/>
  <c r="H648" i="2" s="1"/>
  <c r="H649" i="2"/>
  <c r="F1004" i="2"/>
  <c r="H1004" i="2" s="1"/>
  <c r="H1005" i="2"/>
  <c r="F1114" i="2"/>
  <c r="F316" i="2"/>
  <c r="F197" i="2"/>
  <c r="F2002" i="2"/>
  <c r="F1251" i="2"/>
  <c r="F1250" i="2" s="1"/>
  <c r="F1249" i="2" s="1"/>
  <c r="F1755" i="2" l="1"/>
  <c r="F1754" i="2" s="1"/>
  <c r="F1753" i="2" s="1"/>
  <c r="F1599" i="2"/>
  <c r="F1583" i="2" s="1"/>
  <c r="F1163" i="2" s="1"/>
  <c r="F973" i="2"/>
  <c r="F425" i="2"/>
  <c r="F2001" i="2"/>
  <c r="F2000" i="2" s="1"/>
  <c r="F1988" i="2" s="1"/>
  <c r="F315" i="2"/>
  <c r="F286" i="2" s="1"/>
  <c r="H676" i="2"/>
  <c r="F675" i="2"/>
  <c r="F674" i="2" s="1"/>
  <c r="F673" i="2" s="1"/>
  <c r="F609" i="2" s="1"/>
  <c r="F593" i="2" s="1"/>
  <c r="H1057" i="2"/>
  <c r="F455" i="2"/>
  <c r="H455" i="2" s="1"/>
  <c r="H456" i="2"/>
  <c r="H1000" i="2"/>
  <c r="H813" i="2"/>
  <c r="H2193" i="2"/>
  <c r="F2150" i="2"/>
  <c r="F2149" i="2" s="1"/>
  <c r="G614" i="2"/>
  <c r="H614" i="2" s="1"/>
  <c r="F424" i="2" l="1"/>
  <c r="F423" i="2" s="1"/>
  <c r="F277" i="2" s="1"/>
  <c r="F15" i="2" s="1"/>
  <c r="F940" i="2"/>
  <c r="F939" i="2" s="1"/>
  <c r="F913" i="2" s="1"/>
  <c r="F806" i="2"/>
  <c r="F805" i="2" s="1"/>
  <c r="F738" i="2" l="1"/>
  <c r="H1056" i="2"/>
  <c r="F2352" i="2" l="1"/>
  <c r="F2359" i="2" s="1"/>
  <c r="H812" i="2"/>
  <c r="H1867" i="2" l="1"/>
  <c r="H1855" i="2"/>
  <c r="H1851" i="2"/>
  <c r="G1731" i="2" l="1"/>
  <c r="H1731" i="2" s="1"/>
  <c r="H1518" i="2"/>
  <c r="H1377" i="2"/>
  <c r="G1332" i="2"/>
  <c r="H1332" i="2" s="1"/>
  <c r="H1210" i="2" l="1"/>
  <c r="G966" i="2" l="1"/>
  <c r="G1055" i="2"/>
  <c r="G1054" i="2" l="1"/>
  <c r="H1055" i="2"/>
  <c r="G965" i="2"/>
  <c r="H966" i="2"/>
  <c r="G1112" i="2"/>
  <c r="G964" i="2" l="1"/>
  <c r="H964" i="2" s="1"/>
  <c r="H965" i="2"/>
  <c r="G1111" i="2"/>
  <c r="H1112" i="2"/>
  <c r="G1053" i="2"/>
  <c r="H1053" i="2" s="1"/>
  <c r="H1054" i="2"/>
  <c r="G1019" i="2"/>
  <c r="G1110" i="2" l="1"/>
  <c r="H1110" i="2" s="1"/>
  <c r="H1111" i="2"/>
  <c r="G1018" i="2"/>
  <c r="G1017" i="2" s="1"/>
  <c r="H1019" i="2"/>
  <c r="H1017" i="2" l="1"/>
  <c r="H1018" i="2"/>
  <c r="G954" i="2"/>
  <c r="H955" i="2"/>
  <c r="G476" i="2"/>
  <c r="H326" i="2"/>
  <c r="G871" i="2"/>
  <c r="H1401" i="2"/>
  <c r="G870" i="2" l="1"/>
  <c r="H871" i="2"/>
  <c r="G953" i="2"/>
  <c r="H953" i="2" s="1"/>
  <c r="H954" i="2"/>
  <c r="G475" i="2"/>
  <c r="H475" i="2" s="1"/>
  <c r="H476" i="2"/>
  <c r="G2190" i="2"/>
  <c r="G2189" i="2" l="1"/>
  <c r="H2190" i="2"/>
  <c r="G869" i="2"/>
  <c r="H869" i="2" s="1"/>
  <c r="H870" i="2"/>
  <c r="G2188" i="2" l="1"/>
  <c r="H2188" i="2" s="1"/>
  <c r="H2189" i="2"/>
  <c r="G1177" i="2"/>
  <c r="G1176" i="2" l="1"/>
  <c r="H1177" i="2"/>
  <c r="G1175" i="2" l="1"/>
  <c r="H1175" i="2" s="1"/>
  <c r="H1176" i="2"/>
  <c r="G895" i="2"/>
  <c r="G894" i="2" l="1"/>
  <c r="H895" i="2"/>
  <c r="G2250" i="2"/>
  <c r="G893" i="2" l="1"/>
  <c r="H893" i="2" s="1"/>
  <c r="H894" i="2"/>
  <c r="G2249" i="2"/>
  <c r="H2250" i="2"/>
  <c r="G990" i="2"/>
  <c r="G2248" i="2" l="1"/>
  <c r="H2248" i="2" s="1"/>
  <c r="H2249" i="2"/>
  <c r="G989" i="2"/>
  <c r="H989" i="2" s="1"/>
  <c r="H990" i="2"/>
  <c r="G1039" i="2"/>
  <c r="G1038" i="2" l="1"/>
  <c r="H1039" i="2"/>
  <c r="H945" i="2"/>
  <c r="H1038" i="2" l="1"/>
  <c r="G962" i="2"/>
  <c r="G961" i="2" l="1"/>
  <c r="H962" i="2"/>
  <c r="H961" i="2" l="1"/>
  <c r="G960" i="2"/>
  <c r="G1804" i="2"/>
  <c r="G1803" i="2" l="1"/>
  <c r="H1804" i="2"/>
  <c r="G1802" i="2" l="1"/>
  <c r="H1802" i="2" s="1"/>
  <c r="H1803" i="2"/>
  <c r="G488" i="2"/>
  <c r="G487" i="2" l="1"/>
  <c r="H488" i="2"/>
  <c r="G1878" i="2"/>
  <c r="G1877" i="2" l="1"/>
  <c r="H1878" i="2"/>
  <c r="G486" i="2"/>
  <c r="H486" i="2" s="1"/>
  <c r="H487" i="2"/>
  <c r="G172" i="2"/>
  <c r="G171" i="2" l="1"/>
  <c r="H171" i="2" s="1"/>
  <c r="H172" i="2"/>
  <c r="G1876" i="2"/>
  <c r="H1876" i="2" s="1"/>
  <c r="H1877" i="2"/>
  <c r="G851" i="2"/>
  <c r="G850" i="2" l="1"/>
  <c r="H851" i="2"/>
  <c r="G849" i="2" l="1"/>
  <c r="H849" i="2" s="1"/>
  <c r="H850" i="2"/>
  <c r="H949" i="2"/>
  <c r="G1548" i="2" l="1"/>
  <c r="H1548" i="2" l="1"/>
  <c r="G1547" i="2"/>
  <c r="G343" i="2"/>
  <c r="H343" i="2" s="1"/>
  <c r="G1042" i="2" l="1"/>
  <c r="H1043" i="2"/>
  <c r="G1041" i="2" l="1"/>
  <c r="G1037" i="2" s="1"/>
  <c r="H1042" i="2"/>
  <c r="H1037" i="2" l="1"/>
  <c r="H1041" i="2"/>
  <c r="G800" i="2"/>
  <c r="G799" i="2" l="1"/>
  <c r="H799" i="2" s="1"/>
  <c r="H800" i="2"/>
  <c r="G2349" i="2"/>
  <c r="G2345" i="2"/>
  <c r="G2338" i="2"/>
  <c r="G2333" i="2"/>
  <c r="G2326" i="2"/>
  <c r="G2322" i="2"/>
  <c r="G2315" i="2"/>
  <c r="G2311" i="2"/>
  <c r="G2307" i="2"/>
  <c r="G2299" i="2"/>
  <c r="G2295" i="2"/>
  <c r="G2286" i="2"/>
  <c r="G2282" i="2"/>
  <c r="H2282" i="2" s="1"/>
  <c r="G2280" i="2"/>
  <c r="H2280" i="2" s="1"/>
  <c r="G2278" i="2"/>
  <c r="H2278" i="2" s="1"/>
  <c r="G2274" i="2"/>
  <c r="H2274" i="2" s="1"/>
  <c r="G2272" i="2"/>
  <c r="H2272" i="2" s="1"/>
  <c r="G2269" i="2"/>
  <c r="H2269" i="2" s="1"/>
  <c r="G2262" i="2"/>
  <c r="G2255" i="2"/>
  <c r="G2246" i="2"/>
  <c r="G2242" i="2"/>
  <c r="G2238" i="2"/>
  <c r="H2238" i="2" s="1"/>
  <c r="G2236" i="2"/>
  <c r="H2236" i="2" s="1"/>
  <c r="G2233" i="2"/>
  <c r="G2217" i="2"/>
  <c r="H2217" i="2" s="1"/>
  <c r="G2214" i="2"/>
  <c r="G2206" i="2"/>
  <c r="G2186" i="2"/>
  <c r="G2182" i="2"/>
  <c r="G2178" i="2"/>
  <c r="G2174" i="2"/>
  <c r="G2165" i="2"/>
  <c r="G2159" i="2"/>
  <c r="G2155" i="2"/>
  <c r="G2142" i="2"/>
  <c r="G2129" i="2"/>
  <c r="G2125" i="2"/>
  <c r="G2119" i="2"/>
  <c r="G2112" i="2"/>
  <c r="G2106" i="2"/>
  <c r="G2102" i="2"/>
  <c r="G2085" i="2"/>
  <c r="G2079" i="2"/>
  <c r="G2076" i="2"/>
  <c r="H2072" i="2"/>
  <c r="G2058" i="2"/>
  <c r="G2055" i="2"/>
  <c r="G2051" i="2"/>
  <c r="H2051" i="2" s="1"/>
  <c r="G2050" i="2"/>
  <c r="H2050" i="2" s="1"/>
  <c r="G2048" i="2"/>
  <c r="G2044" i="2"/>
  <c r="G2040" i="2"/>
  <c r="G2037" i="2"/>
  <c r="G2033" i="2"/>
  <c r="H2033" i="2" s="1"/>
  <c r="G2031" i="2"/>
  <c r="H2031" i="2" s="1"/>
  <c r="G2028" i="2"/>
  <c r="G2024" i="2"/>
  <c r="G2021" i="2"/>
  <c r="G2016" i="2"/>
  <c r="G2013" i="2"/>
  <c r="G2009" i="2"/>
  <c r="G2006" i="2"/>
  <c r="G1986" i="2"/>
  <c r="G1981" i="2"/>
  <c r="G1976" i="2"/>
  <c r="G1973" i="2"/>
  <c r="G1969" i="2"/>
  <c r="G1966" i="2"/>
  <c r="G1957" i="2"/>
  <c r="G1952" i="2"/>
  <c r="G1945" i="2"/>
  <c r="G1941" i="2"/>
  <c r="H1939" i="2"/>
  <c r="H1938" i="2"/>
  <c r="H1937" i="2"/>
  <c r="G1926" i="2"/>
  <c r="G1919" i="2"/>
  <c r="H1919" i="2" s="1"/>
  <c r="G1917" i="2"/>
  <c r="H1917" i="2" s="1"/>
  <c r="G1910" i="2"/>
  <c r="G1906" i="2"/>
  <c r="G1902" i="2"/>
  <c r="H1902" i="2" s="1"/>
  <c r="G1900" i="2"/>
  <c r="H1900" i="2" s="1"/>
  <c r="G1893" i="2"/>
  <c r="G1889" i="2"/>
  <c r="G1884" i="2"/>
  <c r="G1874" i="2"/>
  <c r="G1870" i="2"/>
  <c r="G1866" i="2"/>
  <c r="G1862" i="2"/>
  <c r="G1854" i="2"/>
  <c r="G1850" i="2"/>
  <c r="G1841" i="2"/>
  <c r="G1837" i="2"/>
  <c r="G1831" i="2"/>
  <c r="H1831" i="2" s="1"/>
  <c r="G1829" i="2"/>
  <c r="H1829" i="2" s="1"/>
  <c r="G1816" i="2"/>
  <c r="H1816" i="2" s="1"/>
  <c r="G1814" i="2"/>
  <c r="H1810" i="2"/>
  <c r="G1808" i="2"/>
  <c r="H1808" i="2" s="1"/>
  <c r="G1800" i="2"/>
  <c r="G1796" i="2"/>
  <c r="G1792" i="2"/>
  <c r="H1792" i="2" s="1"/>
  <c r="G1790" i="2"/>
  <c r="H1790" i="2" s="1"/>
  <c r="G1786" i="2"/>
  <c r="G1782" i="2"/>
  <c r="G1778" i="2"/>
  <c r="H1778" i="2" s="1"/>
  <c r="G1776" i="2"/>
  <c r="H1776" i="2" s="1"/>
  <c r="G1771" i="2"/>
  <c r="G1768" i="2"/>
  <c r="G1764" i="2"/>
  <c r="G1760" i="2"/>
  <c r="G1751" i="2"/>
  <c r="G1746" i="2"/>
  <c r="G1739" i="2"/>
  <c r="G1727" i="2"/>
  <c r="G1723" i="2"/>
  <c r="G1718" i="2"/>
  <c r="H1716" i="2"/>
  <c r="H1715" i="2"/>
  <c r="H1714" i="2"/>
  <c r="G1707" i="2"/>
  <c r="G1701" i="2"/>
  <c r="G1694" i="2"/>
  <c r="G1690" i="2"/>
  <c r="G1687" i="2"/>
  <c r="G1678" i="2"/>
  <c r="G1675" i="2"/>
  <c r="G1671" i="2"/>
  <c r="G1667" i="2"/>
  <c r="G1663" i="2"/>
  <c r="H1663" i="2" s="1"/>
  <c r="G1661" i="2"/>
  <c r="H1661" i="2" s="1"/>
  <c r="G1658" i="2"/>
  <c r="G1655" i="2"/>
  <c r="G1649" i="2"/>
  <c r="G1645" i="2"/>
  <c r="H1645" i="2" s="1"/>
  <c r="G1643" i="2"/>
  <c r="H1643" i="2" s="1"/>
  <c r="G1641" i="2"/>
  <c r="H1641" i="2" s="1"/>
  <c r="G1638" i="2"/>
  <c r="G1634" i="2"/>
  <c r="H1634" i="2" s="1"/>
  <c r="G1632" i="2"/>
  <c r="H1632" i="2" s="1"/>
  <c r="G1630" i="2"/>
  <c r="H1630" i="2" s="1"/>
  <c r="G1627" i="2"/>
  <c r="G1623" i="2"/>
  <c r="H1623" i="2" s="1"/>
  <c r="G1621" i="2"/>
  <c r="H1621" i="2" s="1"/>
  <c r="G1619" i="2"/>
  <c r="H1619" i="2" s="1"/>
  <c r="G1616" i="2"/>
  <c r="G1611" i="2"/>
  <c r="H1611" i="2" s="1"/>
  <c r="G1609" i="2"/>
  <c r="H1609" i="2" s="1"/>
  <c r="G1607" i="2"/>
  <c r="H1607" i="2" s="1"/>
  <c r="G1604" i="2"/>
  <c r="G1597" i="2"/>
  <c r="G1590" i="2"/>
  <c r="G1581" i="2"/>
  <c r="G1574" i="2"/>
  <c r="D1574" i="2"/>
  <c r="D1573" i="2" s="1"/>
  <c r="D1572" i="2" s="1"/>
  <c r="D1571" i="2" s="1"/>
  <c r="G1566" i="2"/>
  <c r="G1555" i="2"/>
  <c r="G1543" i="2"/>
  <c r="D1543" i="2"/>
  <c r="D1542" i="2" s="1"/>
  <c r="D1541" i="2" s="1"/>
  <c r="G1538" i="2"/>
  <c r="G1529" i="2"/>
  <c r="G1525" i="2"/>
  <c r="D1525" i="2"/>
  <c r="D1524" i="2" s="1"/>
  <c r="D1523" i="2" s="1"/>
  <c r="G1517" i="2"/>
  <c r="G1513" i="2"/>
  <c r="G1508" i="2"/>
  <c r="G1503" i="2"/>
  <c r="G1499" i="2"/>
  <c r="G1494" i="2"/>
  <c r="G1487" i="2"/>
  <c r="G1478" i="2"/>
  <c r="G1474" i="2"/>
  <c r="G1468" i="2"/>
  <c r="G1462" i="2"/>
  <c r="G1458" i="2"/>
  <c r="G1451" i="2"/>
  <c r="G1447" i="2"/>
  <c r="G1443" i="2"/>
  <c r="G1436" i="2"/>
  <c r="G1432" i="2"/>
  <c r="G1426" i="2"/>
  <c r="G1420" i="2"/>
  <c r="G1413" i="2"/>
  <c r="G1409" i="2"/>
  <c r="G1405" i="2"/>
  <c r="G1400" i="2"/>
  <c r="G1392" i="2"/>
  <c r="G1388" i="2"/>
  <c r="G1384" i="2"/>
  <c r="G1376" i="2"/>
  <c r="G1367" i="2"/>
  <c r="G1362" i="2"/>
  <c r="G1359" i="2"/>
  <c r="G1353" i="2"/>
  <c r="G1350" i="2"/>
  <c r="G1346" i="2"/>
  <c r="G1341" i="2"/>
  <c r="G1336" i="2"/>
  <c r="G1331" i="2"/>
  <c r="H1331" i="2" s="1"/>
  <c r="G1326" i="2"/>
  <c r="G1322" i="2"/>
  <c r="G1318" i="2"/>
  <c r="G1314" i="2"/>
  <c r="H1314" i="2" s="1"/>
  <c r="G1313" i="2"/>
  <c r="G1310" i="2"/>
  <c r="H1299" i="2"/>
  <c r="H1298" i="2"/>
  <c r="H1297" i="2"/>
  <c r="G1292" i="2"/>
  <c r="H1292" i="2" s="1"/>
  <c r="G1290" i="2"/>
  <c r="H1290" i="2" s="1"/>
  <c r="G1286" i="2"/>
  <c r="G1282" i="2"/>
  <c r="G1277" i="2"/>
  <c r="G1273" i="2"/>
  <c r="G1268" i="2"/>
  <c r="G1264" i="2"/>
  <c r="G1261" i="2"/>
  <c r="H1259" i="2"/>
  <c r="H1258" i="2"/>
  <c r="H1257" i="2"/>
  <c r="G1247" i="2"/>
  <c r="G1241" i="2"/>
  <c r="G1235" i="2"/>
  <c r="G1228" i="2"/>
  <c r="G1224" i="2"/>
  <c r="G1217" i="2"/>
  <c r="H1217" i="2" s="1"/>
  <c r="D1217" i="2"/>
  <c r="D1216" i="2" s="1"/>
  <c r="D1215" i="2" s="1"/>
  <c r="G1216" i="2"/>
  <c r="G1213" i="2"/>
  <c r="G1209" i="2"/>
  <c r="G1204" i="2"/>
  <c r="G1190" i="2"/>
  <c r="G1186" i="2"/>
  <c r="G1182" i="2"/>
  <c r="G1173" i="2"/>
  <c r="G1170" i="2"/>
  <c r="G1161" i="2"/>
  <c r="G1148" i="2"/>
  <c r="H1146" i="2"/>
  <c r="H1145" i="2"/>
  <c r="H1144" i="2"/>
  <c r="G1135" i="2"/>
  <c r="G1131" i="2"/>
  <c r="H1129" i="2"/>
  <c r="H1128" i="2"/>
  <c r="H1127" i="2"/>
  <c r="G1120" i="2"/>
  <c r="G1108" i="2"/>
  <c r="G1105" i="2"/>
  <c r="G1099" i="2"/>
  <c r="G1095" i="2"/>
  <c r="G1090" i="2"/>
  <c r="G1086" i="2"/>
  <c r="G1082" i="2"/>
  <c r="G1078" i="2"/>
  <c r="G1073" i="2"/>
  <c r="G1067" i="2"/>
  <c r="G1035" i="2"/>
  <c r="G1031" i="2"/>
  <c r="G1027" i="2"/>
  <c r="G1023" i="2"/>
  <c r="G1014" i="2"/>
  <c r="G1010" i="2"/>
  <c r="G998" i="2"/>
  <c r="G994" i="2"/>
  <c r="G987" i="2"/>
  <c r="G983" i="2"/>
  <c r="G976" i="2"/>
  <c r="G971" i="2"/>
  <c r="G948" i="2"/>
  <c r="G944" i="2"/>
  <c r="G937" i="2"/>
  <c r="G933" i="2"/>
  <c r="G922" i="2"/>
  <c r="G918" i="2"/>
  <c r="G911" i="2"/>
  <c r="G908" i="2"/>
  <c r="G891" i="2"/>
  <c r="G887" i="2"/>
  <c r="G883" i="2"/>
  <c r="G879" i="2"/>
  <c r="H876" i="2"/>
  <c r="H875" i="2"/>
  <c r="H874" i="2"/>
  <c r="H873" i="2"/>
  <c r="G867" i="2"/>
  <c r="G863" i="2"/>
  <c r="G859" i="2"/>
  <c r="G855" i="2"/>
  <c r="G847" i="2"/>
  <c r="G843" i="2"/>
  <c r="G839" i="2"/>
  <c r="G833" i="2"/>
  <c r="G829" i="2"/>
  <c r="G825" i="2"/>
  <c r="G821" i="2"/>
  <c r="G811" i="2"/>
  <c r="G803" i="2"/>
  <c r="G797" i="2"/>
  <c r="G793" i="2"/>
  <c r="G789" i="2"/>
  <c r="G785" i="2"/>
  <c r="G781" i="2"/>
  <c r="G771" i="2"/>
  <c r="G767" i="2"/>
  <c r="G763" i="2"/>
  <c r="G758" i="2"/>
  <c r="G752" i="2"/>
  <c r="G745" i="2"/>
  <c r="G736" i="2"/>
  <c r="G731" i="2"/>
  <c r="G726" i="2"/>
  <c r="G720" i="2"/>
  <c r="G716" i="2"/>
  <c r="G710" i="2"/>
  <c r="G706" i="2"/>
  <c r="G702" i="2"/>
  <c r="G697" i="2"/>
  <c r="G693" i="2"/>
  <c r="G675" i="2"/>
  <c r="G671" i="2"/>
  <c r="G667" i="2"/>
  <c r="G662" i="2"/>
  <c r="G658" i="2"/>
  <c r="G654" i="2"/>
  <c r="G646" i="2"/>
  <c r="G642" i="2"/>
  <c r="G638" i="2"/>
  <c r="G634" i="2"/>
  <c r="G630" i="2"/>
  <c r="G626" i="2"/>
  <c r="G622" i="2"/>
  <c r="G618" i="2"/>
  <c r="G613" i="2"/>
  <c r="G607" i="2"/>
  <c r="G603" i="2"/>
  <c r="G599" i="2"/>
  <c r="G591" i="2"/>
  <c r="G587" i="2"/>
  <c r="H587" i="2" s="1"/>
  <c r="G585" i="2"/>
  <c r="H585" i="2" s="1"/>
  <c r="G582" i="2"/>
  <c r="G576" i="2"/>
  <c r="H576" i="2" s="1"/>
  <c r="G574" i="2"/>
  <c r="H574" i="2" s="1"/>
  <c r="G571" i="2"/>
  <c r="G566" i="2"/>
  <c r="G563" i="2"/>
  <c r="G558" i="2"/>
  <c r="H558" i="2" s="1"/>
  <c r="G557" i="2"/>
  <c r="G551" i="2"/>
  <c r="G543" i="2"/>
  <c r="G536" i="2"/>
  <c r="G530" i="2"/>
  <c r="G521" i="2"/>
  <c r="H519" i="2"/>
  <c r="H518" i="2"/>
  <c r="H517" i="2"/>
  <c r="G511" i="2"/>
  <c r="G502" i="2"/>
  <c r="G497" i="2"/>
  <c r="G484" i="2"/>
  <c r="G470" i="2"/>
  <c r="G465" i="2"/>
  <c r="G444" i="2"/>
  <c r="G440" i="2"/>
  <c r="G421" i="2"/>
  <c r="G415" i="2"/>
  <c r="G410" i="2"/>
  <c r="G406" i="2"/>
  <c r="G397" i="2"/>
  <c r="G383" i="2"/>
  <c r="G379" i="2"/>
  <c r="G375" i="2"/>
  <c r="G367" i="2"/>
  <c r="G359" i="2"/>
  <c r="G356" i="2"/>
  <c r="G352" i="2"/>
  <c r="G342" i="2"/>
  <c r="H342" i="2" s="1"/>
  <c r="G339" i="2"/>
  <c r="H337" i="2"/>
  <c r="H336" i="2"/>
  <c r="H335" i="2"/>
  <c r="G324" i="2"/>
  <c r="H322" i="2"/>
  <c r="H321" i="2"/>
  <c r="H320" i="2"/>
  <c r="G313" i="2"/>
  <c r="H313" i="2" s="1"/>
  <c r="G311" i="2"/>
  <c r="H300" i="2"/>
  <c r="H299" i="2"/>
  <c r="H298" i="2"/>
  <c r="G291" i="2"/>
  <c r="G283" i="2"/>
  <c r="G275" i="2"/>
  <c r="G270" i="2"/>
  <c r="G263" i="2"/>
  <c r="H261" i="2"/>
  <c r="H260" i="2"/>
  <c r="G250" i="2"/>
  <c r="H246" i="2"/>
  <c r="H245" i="2"/>
  <c r="G240" i="2"/>
  <c r="G236" i="2"/>
  <c r="H234" i="2"/>
  <c r="H233" i="2"/>
  <c r="H232" i="2"/>
  <c r="G226" i="2"/>
  <c r="G218" i="2"/>
  <c r="H216" i="2"/>
  <c r="H215" i="2"/>
  <c r="H214" i="2"/>
  <c r="G208" i="2"/>
  <c r="G203" i="2"/>
  <c r="G195" i="2"/>
  <c r="G191" i="2"/>
  <c r="G188" i="2"/>
  <c r="G183" i="2"/>
  <c r="G179" i="2"/>
  <c r="H179" i="2" s="1"/>
  <c r="G178" i="2"/>
  <c r="H178" i="2" s="1"/>
  <c r="H177" i="2"/>
  <c r="G167" i="2"/>
  <c r="G160" i="2"/>
  <c r="G153" i="2"/>
  <c r="G149" i="2"/>
  <c r="G146" i="2"/>
  <c r="G141" i="2"/>
  <c r="G135" i="2"/>
  <c r="G129" i="2"/>
  <c r="G123" i="2"/>
  <c r="H112" i="2"/>
  <c r="H111" i="2"/>
  <c r="H110" i="2"/>
  <c r="G104" i="2"/>
  <c r="G98" i="2"/>
  <c r="G88" i="2"/>
  <c r="H86" i="2"/>
  <c r="H84" i="2"/>
  <c r="G74" i="2"/>
  <c r="G61" i="2"/>
  <c r="H54" i="2"/>
  <c r="H53" i="2"/>
  <c r="H49" i="2"/>
  <c r="H48" i="2"/>
  <c r="G43" i="2"/>
  <c r="H41" i="2"/>
  <c r="H40" i="2"/>
  <c r="H37" i="2"/>
  <c r="H35" i="2"/>
  <c r="H34" i="2"/>
  <c r="G29" i="2"/>
  <c r="H24" i="2"/>
  <c r="H23" i="2"/>
  <c r="G1813" i="2" l="1"/>
  <c r="H1906" i="2"/>
  <c r="G1905" i="2"/>
  <c r="H1313" i="2"/>
  <c r="G1312" i="2"/>
  <c r="G94" i="2"/>
  <c r="H95" i="2"/>
  <c r="G140" i="2"/>
  <c r="H141" i="2"/>
  <c r="G235" i="2"/>
  <c r="H235" i="2" s="1"/>
  <c r="H236" i="2"/>
  <c r="G269" i="2"/>
  <c r="H270" i="2"/>
  <c r="G302" i="2"/>
  <c r="H303" i="2"/>
  <c r="G338" i="2"/>
  <c r="H338" i="2" s="1"/>
  <c r="H339" i="2"/>
  <c r="G469" i="2"/>
  <c r="H470" i="2"/>
  <c r="G529" i="2"/>
  <c r="H530" i="2"/>
  <c r="G590" i="2"/>
  <c r="H591" i="2"/>
  <c r="G921" i="2"/>
  <c r="H922" i="2"/>
  <c r="G986" i="2"/>
  <c r="H987" i="2"/>
  <c r="G1051" i="2"/>
  <c r="H1052" i="2"/>
  <c r="G1208" i="2"/>
  <c r="H1209" i="2"/>
  <c r="G1399" i="2"/>
  <c r="H1400" i="2"/>
  <c r="G1446" i="2"/>
  <c r="H1447" i="2"/>
  <c r="G1502" i="2"/>
  <c r="H1503" i="2"/>
  <c r="G1524" i="2"/>
  <c r="H1525" i="2"/>
  <c r="G1559" i="2"/>
  <c r="H1560" i="2"/>
  <c r="G1686" i="2"/>
  <c r="H1686" i="2" s="1"/>
  <c r="H1687" i="2"/>
  <c r="G1730" i="2"/>
  <c r="H1730" i="2" s="1"/>
  <c r="H1733" i="2"/>
  <c r="G1822" i="2"/>
  <c r="H1823" i="2"/>
  <c r="G1869" i="2"/>
  <c r="H1870" i="2"/>
  <c r="G1909" i="2"/>
  <c r="H1910" i="2"/>
  <c r="G1985" i="2"/>
  <c r="H1986" i="2"/>
  <c r="G2062" i="2"/>
  <c r="H2063" i="2"/>
  <c r="G73" i="2"/>
  <c r="H74" i="2"/>
  <c r="G87" i="2"/>
  <c r="H87" i="2" s="1"/>
  <c r="H88" i="2"/>
  <c r="G117" i="2"/>
  <c r="H117" i="2" s="1"/>
  <c r="H118" i="2"/>
  <c r="G152" i="2"/>
  <c r="H153" i="2"/>
  <c r="G190" i="2"/>
  <c r="H190" i="2" s="1"/>
  <c r="H191" i="2"/>
  <c r="G262" i="2"/>
  <c r="H262" i="2" s="1"/>
  <c r="H263" i="2"/>
  <c r="G323" i="2"/>
  <c r="H323" i="2" s="1"/>
  <c r="H324" i="2"/>
  <c r="G351" i="2"/>
  <c r="H351" i="2" s="1"/>
  <c r="H352" i="2"/>
  <c r="G366" i="2"/>
  <c r="H367" i="2"/>
  <c r="G382" i="2"/>
  <c r="H383" i="2"/>
  <c r="G396" i="2"/>
  <c r="H396" i="2" s="1"/>
  <c r="H397" i="2"/>
  <c r="G414" i="2"/>
  <c r="H415" i="2"/>
  <c r="G464" i="2"/>
  <c r="H465" i="2"/>
  <c r="G496" i="2"/>
  <c r="H497" i="2"/>
  <c r="G524" i="2"/>
  <c r="H524" i="2" s="1"/>
  <c r="H525" i="2"/>
  <c r="G550" i="2"/>
  <c r="H551" i="2"/>
  <c r="G562" i="2"/>
  <c r="H562" i="2" s="1"/>
  <c r="H563" i="2"/>
  <c r="G602" i="2"/>
  <c r="H603" i="2"/>
  <c r="G633" i="2"/>
  <c r="H634" i="2"/>
  <c r="G645" i="2"/>
  <c r="H646" i="2"/>
  <c r="G666" i="2"/>
  <c r="H667" i="2"/>
  <c r="G692" i="2"/>
  <c r="H693" i="2"/>
  <c r="G709" i="2"/>
  <c r="H710" i="2"/>
  <c r="G788" i="2"/>
  <c r="H789" i="2"/>
  <c r="G802" i="2"/>
  <c r="H802" i="2" s="1"/>
  <c r="H803" i="2"/>
  <c r="G820" i="2"/>
  <c r="H821" i="2"/>
  <c r="G846" i="2"/>
  <c r="H847" i="2"/>
  <c r="G902" i="2"/>
  <c r="H903" i="2"/>
  <c r="G917" i="2"/>
  <c r="H918" i="2"/>
  <c r="G932" i="2"/>
  <c r="H933" i="2"/>
  <c r="G958" i="2"/>
  <c r="H959" i="2"/>
  <c r="G982" i="2"/>
  <c r="H982" i="2" s="1"/>
  <c r="H983" i="2"/>
  <c r="G1009" i="2"/>
  <c r="H1010" i="2"/>
  <c r="G1026" i="2"/>
  <c r="G1025" i="2" s="1"/>
  <c r="H1027" i="2"/>
  <c r="G1072" i="2"/>
  <c r="H1073" i="2"/>
  <c r="G1089" i="2"/>
  <c r="H1090" i="2"/>
  <c r="G1107" i="2"/>
  <c r="H1107" i="2" s="1"/>
  <c r="H1108" i="2"/>
  <c r="G1160" i="2"/>
  <c r="H1161" i="2"/>
  <c r="G1181" i="2"/>
  <c r="H1182" i="2"/>
  <c r="G1203" i="2"/>
  <c r="H1204" i="2"/>
  <c r="G1227" i="2"/>
  <c r="H1228" i="2"/>
  <c r="G1240" i="2"/>
  <c r="H1241" i="2"/>
  <c r="G1267" i="2"/>
  <c r="H1268" i="2"/>
  <c r="G1283" i="2"/>
  <c r="H1283" i="2" s="1"/>
  <c r="H1284" i="2"/>
  <c r="G1301" i="2"/>
  <c r="H1302" i="2"/>
  <c r="G1317" i="2"/>
  <c r="H1318" i="2"/>
  <c r="G1335" i="2"/>
  <c r="H1335" i="2" s="1"/>
  <c r="H1336" i="2"/>
  <c r="G1361" i="2"/>
  <c r="H1361" i="2" s="1"/>
  <c r="H1362" i="2"/>
  <c r="G1380" i="2"/>
  <c r="H1381" i="2"/>
  <c r="G1419" i="2"/>
  <c r="H1420" i="2"/>
  <c r="G1442" i="2"/>
  <c r="H1443" i="2"/>
  <c r="G1473" i="2"/>
  <c r="H1474" i="2"/>
  <c r="G1498" i="2"/>
  <c r="H1499" i="2"/>
  <c r="G1516" i="2"/>
  <c r="H1517" i="2"/>
  <c r="G1528" i="2"/>
  <c r="H1529" i="2"/>
  <c r="G1542" i="2"/>
  <c r="H1543" i="2"/>
  <c r="G1554" i="2"/>
  <c r="H1555" i="2"/>
  <c r="G1573" i="2"/>
  <c r="H1574" i="2"/>
  <c r="G1603" i="2"/>
  <c r="H1603" i="2" s="1"/>
  <c r="H1604" i="2"/>
  <c r="G1615" i="2"/>
  <c r="H1615" i="2" s="1"/>
  <c r="H1616" i="2"/>
  <c r="G1626" i="2"/>
  <c r="H1626" i="2" s="1"/>
  <c r="H1627" i="2"/>
  <c r="G1637" i="2"/>
  <c r="H1637" i="2" s="1"/>
  <c r="H1638" i="2"/>
  <c r="G1648" i="2"/>
  <c r="H1649" i="2"/>
  <c r="G1677" i="2"/>
  <c r="H1677" i="2" s="1"/>
  <c r="H1678" i="2"/>
  <c r="G1700" i="2"/>
  <c r="H1701" i="2"/>
  <c r="G1726" i="2"/>
  <c r="H1726" i="2" s="1"/>
  <c r="H1727" i="2"/>
  <c r="G1750" i="2"/>
  <c r="H1751" i="2"/>
  <c r="G1770" i="2"/>
  <c r="H1770" i="2" s="1"/>
  <c r="H1771" i="2"/>
  <c r="G1785" i="2"/>
  <c r="H1786" i="2"/>
  <c r="G1799" i="2"/>
  <c r="H1800" i="2"/>
  <c r="G1846" i="2"/>
  <c r="H1847" i="2"/>
  <c r="G1865" i="2"/>
  <c r="H1866" i="2"/>
  <c r="G1892" i="2"/>
  <c r="H1893" i="2"/>
  <c r="G1925" i="2"/>
  <c r="G1924" i="2" s="1"/>
  <c r="H1926" i="2"/>
  <c r="G1940" i="2"/>
  <c r="H1940" i="2" s="1"/>
  <c r="H1941" i="2"/>
  <c r="G1965" i="2"/>
  <c r="H1965" i="2" s="1"/>
  <c r="H1966" i="2"/>
  <c r="G1980" i="2"/>
  <c r="H1981" i="2"/>
  <c r="G2005" i="2"/>
  <c r="H2005" i="2" s="1"/>
  <c r="H2006" i="2"/>
  <c r="G2020" i="2"/>
  <c r="H2020" i="2" s="1"/>
  <c r="H2021" i="2"/>
  <c r="G2047" i="2"/>
  <c r="H2047" i="2" s="1"/>
  <c r="H2048" i="2"/>
  <c r="G2057" i="2"/>
  <c r="H2057" i="2" s="1"/>
  <c r="H2058" i="2"/>
  <c r="G2075" i="2"/>
  <c r="H2075" i="2" s="1"/>
  <c r="H2076" i="2"/>
  <c r="G2084" i="2"/>
  <c r="H2085" i="2"/>
  <c r="G2105" i="2"/>
  <c r="H2106" i="2"/>
  <c r="G2128" i="2"/>
  <c r="H2129" i="2"/>
  <c r="G2158" i="2"/>
  <c r="H2159" i="2"/>
  <c r="G2177" i="2"/>
  <c r="H2178" i="2"/>
  <c r="G2205" i="2"/>
  <c r="H2206" i="2"/>
  <c r="H2219" i="2"/>
  <c r="G2254" i="2"/>
  <c r="H2255" i="2"/>
  <c r="G2291" i="2"/>
  <c r="H2292" i="2"/>
  <c r="G2310" i="2"/>
  <c r="H2311" i="2"/>
  <c r="G2332" i="2"/>
  <c r="H2333" i="2"/>
  <c r="G2337" i="2"/>
  <c r="H2338" i="2"/>
  <c r="G225" i="2"/>
  <c r="H226" i="2"/>
  <c r="G290" i="2"/>
  <c r="H291" i="2"/>
  <c r="G327" i="2"/>
  <c r="H327" i="2" s="1"/>
  <c r="H328" i="2"/>
  <c r="G355" i="2"/>
  <c r="H356" i="2"/>
  <c r="G402" i="2"/>
  <c r="H403" i="2"/>
  <c r="G501" i="2"/>
  <c r="H502" i="2"/>
  <c r="G565" i="2"/>
  <c r="H565" i="2" s="1"/>
  <c r="H566" i="2"/>
  <c r="G621" i="2"/>
  <c r="H622" i="2"/>
  <c r="G670" i="2"/>
  <c r="H671" i="2"/>
  <c r="G780" i="2"/>
  <c r="G776" i="2" s="1"/>
  <c r="H781" i="2"/>
  <c r="G824" i="2"/>
  <c r="H825" i="2"/>
  <c r="G866" i="2"/>
  <c r="H867" i="2"/>
  <c r="G882" i="2"/>
  <c r="H883" i="2"/>
  <c r="G936" i="2"/>
  <c r="H937" i="2"/>
  <c r="G1077" i="2"/>
  <c r="H1078" i="2"/>
  <c r="G1119" i="2"/>
  <c r="H1120" i="2"/>
  <c r="G1185" i="2"/>
  <c r="H1186" i="2"/>
  <c r="G1234" i="2"/>
  <c r="H1235" i="2"/>
  <c r="G1285" i="2"/>
  <c r="H1285" i="2" s="1"/>
  <c r="H1286" i="2"/>
  <c r="G1304" i="2"/>
  <c r="H1305" i="2"/>
  <c r="G1349" i="2"/>
  <c r="H1349" i="2" s="1"/>
  <c r="H1350" i="2"/>
  <c r="G1408" i="2"/>
  <c r="H1409" i="2"/>
  <c r="G1580" i="2"/>
  <c r="H1581" i="2"/>
  <c r="G1654" i="2"/>
  <c r="H1654" i="2" s="1"/>
  <c r="H1655" i="2"/>
  <c r="G1706" i="2"/>
  <c r="H1707" i="2"/>
  <c r="G1759" i="2"/>
  <c r="H1760" i="2"/>
  <c r="G1849" i="2"/>
  <c r="H1850" i="2"/>
  <c r="G1883" i="2"/>
  <c r="H1884" i="2"/>
  <c r="G1944" i="2"/>
  <c r="H1944" i="2" s="1"/>
  <c r="H1945" i="2"/>
  <c r="H960" i="2"/>
  <c r="G60" i="2"/>
  <c r="H60" i="2" s="1"/>
  <c r="H61" i="2"/>
  <c r="G97" i="2"/>
  <c r="H98" i="2"/>
  <c r="G128" i="2"/>
  <c r="H129" i="2"/>
  <c r="G145" i="2"/>
  <c r="H146" i="2"/>
  <c r="G166" i="2"/>
  <c r="H167" i="2"/>
  <c r="G182" i="2"/>
  <c r="H183" i="2"/>
  <c r="G202" i="2"/>
  <c r="H203" i="2"/>
  <c r="G239" i="2"/>
  <c r="H239" i="2" s="1"/>
  <c r="H240" i="2"/>
  <c r="G274" i="2"/>
  <c r="H275" i="2"/>
  <c r="G305" i="2"/>
  <c r="H305" i="2" s="1"/>
  <c r="H306" i="2"/>
  <c r="G358" i="2"/>
  <c r="H358" i="2" s="1"/>
  <c r="H359" i="2"/>
  <c r="G374" i="2"/>
  <c r="H374" i="2" s="1"/>
  <c r="H375" i="2"/>
  <c r="G389" i="2"/>
  <c r="H390" i="2"/>
  <c r="G405" i="2"/>
  <c r="H406" i="2"/>
  <c r="G439" i="2"/>
  <c r="H439" i="2" s="1"/>
  <c r="H440" i="2"/>
  <c r="G480" i="2"/>
  <c r="H481" i="2"/>
  <c r="G505" i="2"/>
  <c r="G504" i="2" s="1"/>
  <c r="H506" i="2"/>
  <c r="G535" i="2"/>
  <c r="H536" i="2"/>
  <c r="G556" i="2"/>
  <c r="H556" i="2" s="1"/>
  <c r="H557" i="2"/>
  <c r="G570" i="2"/>
  <c r="H570" i="2" s="1"/>
  <c r="H571" i="2"/>
  <c r="G581" i="2"/>
  <c r="H581" i="2" s="1"/>
  <c r="H582" i="2"/>
  <c r="G612" i="2"/>
  <c r="H613" i="2"/>
  <c r="G625" i="2"/>
  <c r="H626" i="2"/>
  <c r="G637" i="2"/>
  <c r="H638" i="2"/>
  <c r="G657" i="2"/>
  <c r="H658" i="2"/>
  <c r="G701" i="2"/>
  <c r="H702" i="2"/>
  <c r="G784" i="2"/>
  <c r="H785" i="2"/>
  <c r="G810" i="2"/>
  <c r="H811" i="2"/>
  <c r="G828" i="2"/>
  <c r="H829" i="2"/>
  <c r="G838" i="2"/>
  <c r="H839" i="2"/>
  <c r="G858" i="2"/>
  <c r="H859" i="2"/>
  <c r="G886" i="2"/>
  <c r="H887" i="2"/>
  <c r="G907" i="2"/>
  <c r="H907" i="2" s="1"/>
  <c r="H908" i="2"/>
  <c r="G943" i="2"/>
  <c r="G942" i="2" s="1"/>
  <c r="H944" i="2"/>
  <c r="G975" i="2"/>
  <c r="H976" i="2"/>
  <c r="G993" i="2"/>
  <c r="H994" i="2"/>
  <c r="G1013" i="2"/>
  <c r="H1014" i="2"/>
  <c r="G1034" i="2"/>
  <c r="G1033" i="2" s="1"/>
  <c r="H1035" i="2"/>
  <c r="G1081" i="2"/>
  <c r="H1082" i="2"/>
  <c r="G1098" i="2"/>
  <c r="H1099" i="2"/>
  <c r="G1134" i="2"/>
  <c r="H1134" i="2" s="1"/>
  <c r="H1135" i="2"/>
  <c r="G1147" i="2"/>
  <c r="H1147" i="2" s="1"/>
  <c r="H1148" i="2"/>
  <c r="G1169" i="2"/>
  <c r="H1169" i="2" s="1"/>
  <c r="H1170" i="2"/>
  <c r="G1189" i="2"/>
  <c r="H1190" i="2"/>
  <c r="G1212" i="2"/>
  <c r="H1213" i="2"/>
  <c r="G1260" i="2"/>
  <c r="H1260" i="2" s="1"/>
  <c r="H1261" i="2"/>
  <c r="G1276" i="2"/>
  <c r="H1277" i="2"/>
  <c r="G1325" i="2"/>
  <c r="H1326" i="2"/>
  <c r="G1340" i="2"/>
  <c r="H1341" i="2"/>
  <c r="G1345" i="2"/>
  <c r="H1346" i="2"/>
  <c r="G1352" i="2"/>
  <c r="H1352" i="2" s="1"/>
  <c r="H1353" i="2"/>
  <c r="G1372" i="2"/>
  <c r="H1373" i="2"/>
  <c r="G1383" i="2"/>
  <c r="H1384" i="2"/>
  <c r="G1396" i="2"/>
  <c r="H1397" i="2"/>
  <c r="G1431" i="2"/>
  <c r="H1432" i="2"/>
  <c r="G1450" i="2"/>
  <c r="H1451" i="2"/>
  <c r="G1461" i="2"/>
  <c r="H1462" i="2"/>
  <c r="G1486" i="2"/>
  <c r="H1487" i="2"/>
  <c r="G1507" i="2"/>
  <c r="H1508" i="2"/>
  <c r="G1537" i="2"/>
  <c r="H1538" i="2"/>
  <c r="G1565" i="2"/>
  <c r="H1566" i="2"/>
  <c r="G1589" i="2"/>
  <c r="H1590" i="2"/>
  <c r="G1657" i="2"/>
  <c r="H1657" i="2" s="1"/>
  <c r="H1658" i="2"/>
  <c r="G1670" i="2"/>
  <c r="H1671" i="2"/>
  <c r="G1689" i="2"/>
  <c r="H1689" i="2" s="1"/>
  <c r="H1690" i="2"/>
  <c r="G1738" i="2"/>
  <c r="H1739" i="2"/>
  <c r="G1763" i="2"/>
  <c r="H1764" i="2"/>
  <c r="H1824" i="2"/>
  <c r="G1836" i="2"/>
  <c r="H1837" i="2"/>
  <c r="G1853" i="2"/>
  <c r="H1854" i="2"/>
  <c r="G1888" i="2"/>
  <c r="H1889" i="2"/>
  <c r="G1951" i="2"/>
  <c r="H1952" i="2"/>
  <c r="G1972" i="2"/>
  <c r="H1972" i="2" s="1"/>
  <c r="H1973" i="2"/>
  <c r="H1996" i="2"/>
  <c r="G2012" i="2"/>
  <c r="H2012" i="2" s="1"/>
  <c r="H2013" i="2"/>
  <c r="G2027" i="2"/>
  <c r="H2027" i="2" s="1"/>
  <c r="H2028" i="2"/>
  <c r="G2039" i="2"/>
  <c r="H2039" i="2" s="1"/>
  <c r="H2040" i="2"/>
  <c r="G2065" i="2"/>
  <c r="H2066" i="2"/>
  <c r="G2096" i="2"/>
  <c r="H2097" i="2"/>
  <c r="G2118" i="2"/>
  <c r="H2119" i="2"/>
  <c r="G2147" i="2"/>
  <c r="H2148" i="2"/>
  <c r="G2170" i="2"/>
  <c r="H2171" i="2"/>
  <c r="G2181" i="2"/>
  <c r="H2182" i="2"/>
  <c r="G2201" i="2"/>
  <c r="H2201" i="2" s="1"/>
  <c r="H2202" i="2"/>
  <c r="G2213" i="2"/>
  <c r="H2213" i="2" s="1"/>
  <c r="H2214" i="2"/>
  <c r="G2241" i="2"/>
  <c r="H2242" i="2"/>
  <c r="G2261" i="2"/>
  <c r="H2262" i="2"/>
  <c r="G2298" i="2"/>
  <c r="H2299" i="2"/>
  <c r="G2321" i="2"/>
  <c r="H2322" i="2"/>
  <c r="G2348" i="2"/>
  <c r="H2349" i="2"/>
  <c r="G42" i="2"/>
  <c r="H42" i="2" s="1"/>
  <c r="H43" i="2"/>
  <c r="G122" i="2"/>
  <c r="H123" i="2"/>
  <c r="G159" i="2"/>
  <c r="H160" i="2"/>
  <c r="G194" i="2"/>
  <c r="H195" i="2"/>
  <c r="G249" i="2"/>
  <c r="H250" i="2"/>
  <c r="G371" i="2"/>
  <c r="H373" i="2"/>
  <c r="G420" i="2"/>
  <c r="H421" i="2"/>
  <c r="G606" i="2"/>
  <c r="H607" i="2"/>
  <c r="G653" i="2"/>
  <c r="H654" i="2"/>
  <c r="G696" i="2"/>
  <c r="H697" i="2"/>
  <c r="G792" i="2"/>
  <c r="H793" i="2"/>
  <c r="G854" i="2"/>
  <c r="H855" i="2"/>
  <c r="G970" i="2"/>
  <c r="H971" i="2"/>
  <c r="G1030" i="2"/>
  <c r="G1029" i="2" s="1"/>
  <c r="H1031" i="2"/>
  <c r="G1094" i="2"/>
  <c r="H1095" i="2"/>
  <c r="G1130" i="2"/>
  <c r="H1130" i="2" s="1"/>
  <c r="H1131" i="2"/>
  <c r="G1246" i="2"/>
  <c r="H1247" i="2"/>
  <c r="G1272" i="2"/>
  <c r="H1273" i="2"/>
  <c r="G1321" i="2"/>
  <c r="H1322" i="2"/>
  <c r="G1366" i="2"/>
  <c r="H1367" i="2"/>
  <c r="G1391" i="2"/>
  <c r="H1392" i="2"/>
  <c r="G1425" i="2"/>
  <c r="H1426" i="2"/>
  <c r="G1477" i="2"/>
  <c r="H1478" i="2"/>
  <c r="G1534" i="2"/>
  <c r="H1535" i="2"/>
  <c r="G1666" i="2"/>
  <c r="H1667" i="2"/>
  <c r="G1717" i="2"/>
  <c r="H1717" i="2" s="1"/>
  <c r="H1718" i="2"/>
  <c r="G1833" i="2"/>
  <c r="H1833" i="2" s="1"/>
  <c r="H1834" i="2"/>
  <c r="G1968" i="2"/>
  <c r="H1968" i="2" s="1"/>
  <c r="H1969" i="2"/>
  <c r="G2008" i="2"/>
  <c r="H2008" i="2" s="1"/>
  <c r="H2009" i="2"/>
  <c r="G2023" i="2"/>
  <c r="H2023" i="2" s="1"/>
  <c r="H2024" i="2"/>
  <c r="G2036" i="2"/>
  <c r="H2036" i="2" s="1"/>
  <c r="H2037" i="2"/>
  <c r="G2078" i="2"/>
  <c r="H2078" i="2" s="1"/>
  <c r="H2079" i="2"/>
  <c r="G2093" i="2"/>
  <c r="H2094" i="2"/>
  <c r="G2111" i="2"/>
  <c r="H2112" i="2"/>
  <c r="G2141" i="2"/>
  <c r="H2142" i="2"/>
  <c r="G2164" i="2"/>
  <c r="H2165" i="2"/>
  <c r="G2199" i="2"/>
  <c r="H2199" i="2" s="1"/>
  <c r="H2200" i="2"/>
  <c r="G2228" i="2"/>
  <c r="H2229" i="2"/>
  <c r="G2294" i="2"/>
  <c r="H2295" i="2"/>
  <c r="G2314" i="2"/>
  <c r="H2315" i="2"/>
  <c r="G2344" i="2"/>
  <c r="H2345" i="2"/>
  <c r="G28" i="2"/>
  <c r="H29" i="2"/>
  <c r="H65" i="2"/>
  <c r="H66" i="2"/>
  <c r="G103" i="2"/>
  <c r="H104" i="2"/>
  <c r="G114" i="2"/>
  <c r="H116" i="2"/>
  <c r="G134" i="2"/>
  <c r="H135" i="2"/>
  <c r="G148" i="2"/>
  <c r="H148" i="2" s="1"/>
  <c r="H149" i="2"/>
  <c r="G187" i="2"/>
  <c r="H187" i="2" s="1"/>
  <c r="H188" i="2"/>
  <c r="G207" i="2"/>
  <c r="H208" i="2"/>
  <c r="G217" i="2"/>
  <c r="H217" i="2" s="1"/>
  <c r="H218" i="2"/>
  <c r="G282" i="2"/>
  <c r="H283" i="2"/>
  <c r="G310" i="2"/>
  <c r="H310" i="2" s="1"/>
  <c r="H311" i="2"/>
  <c r="G349" i="2"/>
  <c r="H350" i="2"/>
  <c r="G363" i="2"/>
  <c r="H364" i="2"/>
  <c r="G378" i="2"/>
  <c r="H379" i="2"/>
  <c r="G394" i="2"/>
  <c r="H395" i="2"/>
  <c r="G409" i="2"/>
  <c r="H410" i="2"/>
  <c r="G443" i="2"/>
  <c r="H443" i="2" s="1"/>
  <c r="H444" i="2"/>
  <c r="G483" i="2"/>
  <c r="H484" i="2"/>
  <c r="G510" i="2"/>
  <c r="H511" i="2"/>
  <c r="G520" i="2"/>
  <c r="H520" i="2" s="1"/>
  <c r="H521" i="2"/>
  <c r="G542" i="2"/>
  <c r="H543" i="2"/>
  <c r="G598" i="2"/>
  <c r="H599" i="2"/>
  <c r="G617" i="2"/>
  <c r="H618" i="2"/>
  <c r="G629" i="2"/>
  <c r="H630" i="2"/>
  <c r="G641" i="2"/>
  <c r="H642" i="2"/>
  <c r="G661" i="2"/>
  <c r="H662" i="2"/>
  <c r="G705" i="2"/>
  <c r="H706" i="2"/>
  <c r="G796" i="2"/>
  <c r="H796" i="2" s="1"/>
  <c r="H797" i="2"/>
  <c r="G832" i="2"/>
  <c r="H833" i="2"/>
  <c r="G842" i="2"/>
  <c r="G841" i="2" s="1"/>
  <c r="H843" i="2"/>
  <c r="G862" i="2"/>
  <c r="H863" i="2"/>
  <c r="G878" i="2"/>
  <c r="H879" i="2"/>
  <c r="G890" i="2"/>
  <c r="H891" i="2"/>
  <c r="G910" i="2"/>
  <c r="H910" i="2" s="1"/>
  <c r="H911" i="2"/>
  <c r="G927" i="2"/>
  <c r="H928" i="2"/>
  <c r="G947" i="2"/>
  <c r="G946" i="2" s="1"/>
  <c r="H948" i="2"/>
  <c r="G980" i="2"/>
  <c r="H981" i="2"/>
  <c r="G997" i="2"/>
  <c r="H998" i="2"/>
  <c r="G1022" i="2"/>
  <c r="G1021" i="2" s="1"/>
  <c r="H1023" i="2"/>
  <c r="G1066" i="2"/>
  <c r="H1067" i="2"/>
  <c r="G1085" i="2"/>
  <c r="H1086" i="2"/>
  <c r="G1104" i="2"/>
  <c r="H1104" i="2" s="1"/>
  <c r="H1105" i="2"/>
  <c r="G1151" i="2"/>
  <c r="H1151" i="2" s="1"/>
  <c r="H1152" i="2"/>
  <c r="G1172" i="2"/>
  <c r="H1172" i="2" s="1"/>
  <c r="H1173" i="2"/>
  <c r="G1199" i="2"/>
  <c r="H1200" i="2"/>
  <c r="G1215" i="2"/>
  <c r="H1215" i="2" s="1"/>
  <c r="H1216" i="2"/>
  <c r="G1223" i="2"/>
  <c r="H1224" i="2"/>
  <c r="G1263" i="2"/>
  <c r="H1263" i="2" s="1"/>
  <c r="H1264" i="2"/>
  <c r="G1281" i="2"/>
  <c r="H1282" i="2"/>
  <c r="G1309" i="2"/>
  <c r="H1310" i="2"/>
  <c r="G1358" i="2"/>
  <c r="H1358" i="2" s="1"/>
  <c r="H1359" i="2"/>
  <c r="G1375" i="2"/>
  <c r="H1376" i="2"/>
  <c r="G1387" i="2"/>
  <c r="H1388" i="2"/>
  <c r="G1404" i="2"/>
  <c r="H1405" i="2"/>
  <c r="G1412" i="2"/>
  <c r="H1413" i="2"/>
  <c r="G1435" i="2"/>
  <c r="H1436" i="2"/>
  <c r="G1457" i="2"/>
  <c r="H1458" i="2"/>
  <c r="G1467" i="2"/>
  <c r="H1468" i="2"/>
  <c r="G1493" i="2"/>
  <c r="H1494" i="2"/>
  <c r="G1512" i="2"/>
  <c r="H1513" i="2"/>
  <c r="G1521" i="2"/>
  <c r="H1522" i="2"/>
  <c r="G1596" i="2"/>
  <c r="H1597" i="2"/>
  <c r="G1674" i="2"/>
  <c r="H1674" i="2" s="1"/>
  <c r="H1675" i="2"/>
  <c r="G1693" i="2"/>
  <c r="H1694" i="2"/>
  <c r="G1722" i="2"/>
  <c r="H1722" i="2" s="1"/>
  <c r="H1723" i="2"/>
  <c r="G1745" i="2"/>
  <c r="H1746" i="2"/>
  <c r="G1767" i="2"/>
  <c r="H1768" i="2"/>
  <c r="G1781" i="2"/>
  <c r="H1782" i="2"/>
  <c r="G1795" i="2"/>
  <c r="H1796" i="2"/>
  <c r="H1814" i="2"/>
  <c r="G1840" i="2"/>
  <c r="H1841" i="2"/>
  <c r="G1861" i="2"/>
  <c r="H1862" i="2"/>
  <c r="G1873" i="2"/>
  <c r="H1874" i="2"/>
  <c r="G1956" i="2"/>
  <c r="H1957" i="2"/>
  <c r="G1975" i="2"/>
  <c r="H1975" i="2" s="1"/>
  <c r="H1976" i="2"/>
  <c r="G1998" i="2"/>
  <c r="H1999" i="2"/>
  <c r="G2015" i="2"/>
  <c r="H2015" i="2" s="1"/>
  <c r="H2016" i="2"/>
  <c r="G2043" i="2"/>
  <c r="H2044" i="2"/>
  <c r="G2054" i="2"/>
  <c r="H2054" i="2" s="1"/>
  <c r="H2055" i="2"/>
  <c r="G2101" i="2"/>
  <c r="H2102" i="2"/>
  <c r="G2124" i="2"/>
  <c r="H2125" i="2"/>
  <c r="G2154" i="2"/>
  <c r="H2155" i="2"/>
  <c r="G2173" i="2"/>
  <c r="H2174" i="2"/>
  <c r="G2185" i="2"/>
  <c r="H2186" i="2"/>
  <c r="G2232" i="2"/>
  <c r="H2232" i="2" s="1"/>
  <c r="H2233" i="2"/>
  <c r="G2245" i="2"/>
  <c r="H2246" i="2"/>
  <c r="G2267" i="2"/>
  <c r="H2268" i="2"/>
  <c r="G2285" i="2"/>
  <c r="H2286" i="2"/>
  <c r="G2306" i="2"/>
  <c r="H2307" i="2"/>
  <c r="G2325" i="2"/>
  <c r="H2326" i="2"/>
  <c r="G770" i="2"/>
  <c r="H771" i="2"/>
  <c r="G766" i="2"/>
  <c r="H767" i="2"/>
  <c r="G762" i="2"/>
  <c r="H763" i="2"/>
  <c r="G757" i="2"/>
  <c r="H758" i="2"/>
  <c r="G751" i="2"/>
  <c r="H752" i="2"/>
  <c r="G744" i="2"/>
  <c r="H745" i="2"/>
  <c r="G735" i="2"/>
  <c r="H736" i="2"/>
  <c r="G730" i="2"/>
  <c r="H731" i="2"/>
  <c r="G725" i="2"/>
  <c r="H726" i="2"/>
  <c r="G719" i="2"/>
  <c r="H720" i="2"/>
  <c r="G715" i="2"/>
  <c r="H716" i="2"/>
  <c r="G674" i="2"/>
  <c r="H675" i="2"/>
  <c r="G2070" i="2"/>
  <c r="G39" i="2"/>
  <c r="G1660" i="2"/>
  <c r="G433" i="2"/>
  <c r="G244" i="2"/>
  <c r="G1296" i="2"/>
  <c r="G297" i="2"/>
  <c r="G1256" i="2"/>
  <c r="G22" i="2"/>
  <c r="G109" i="2"/>
  <c r="G1713" i="2"/>
  <c r="G52" i="2"/>
  <c r="G231" i="2"/>
  <c r="G47" i="2"/>
  <c r="G83" i="2"/>
  <c r="G429" i="2"/>
  <c r="G1143" i="2"/>
  <c r="G1899" i="2"/>
  <c r="G2271" i="2"/>
  <c r="G1775" i="2"/>
  <c r="G1916" i="2"/>
  <c r="G2235" i="2"/>
  <c r="G2030" i="2"/>
  <c r="G1289" i="2"/>
  <c r="G1606" i="2"/>
  <c r="G1640" i="2"/>
  <c r="G319" i="2"/>
  <c r="G516" i="2"/>
  <c r="G573" i="2"/>
  <c r="G2277" i="2"/>
  <c r="G1618" i="2"/>
  <c r="G584" i="2"/>
  <c r="G1629" i="2"/>
  <c r="G1807" i="2"/>
  <c r="G334" i="2"/>
  <c r="G33" i="2"/>
  <c r="G176" i="2"/>
  <c r="G213" i="2"/>
  <c r="G1789" i="2"/>
  <c r="G1936" i="2"/>
  <c r="G555" i="2" l="1"/>
  <c r="G554" i="2" s="1"/>
  <c r="G1828" i="2"/>
  <c r="H1828" i="2" s="1"/>
  <c r="G309" i="2"/>
  <c r="H309" i="2" s="1"/>
  <c r="G2053" i="2"/>
  <c r="H2053" i="2" s="1"/>
  <c r="G2004" i="2"/>
  <c r="H2004" i="2" s="1"/>
  <c r="H1404" i="2"/>
  <c r="G1403" i="2"/>
  <c r="H1403" i="2" s="1"/>
  <c r="H1408" i="2"/>
  <c r="G1407" i="2"/>
  <c r="H1407" i="2" s="1"/>
  <c r="G354" i="2"/>
  <c r="H354" i="2" s="1"/>
  <c r="H612" i="2"/>
  <c r="G144" i="2"/>
  <c r="H144" i="2" s="1"/>
  <c r="H1072" i="2"/>
  <c r="G1071" i="2"/>
  <c r="H1071" i="2" s="1"/>
  <c r="H1412" i="2"/>
  <c r="G1411" i="2"/>
  <c r="H1411" i="2" s="1"/>
  <c r="H670" i="2"/>
  <c r="G669" i="2"/>
  <c r="H669" i="2" s="1"/>
  <c r="H1516" i="2"/>
  <c r="G1515" i="2"/>
  <c r="H249" i="2"/>
  <c r="G248" i="2"/>
  <c r="G247" i="2" s="1"/>
  <c r="H247" i="2" s="1"/>
  <c r="G186" i="2"/>
  <c r="H186" i="2" s="1"/>
  <c r="H134" i="2"/>
  <c r="G133" i="2"/>
  <c r="H133" i="2" s="1"/>
  <c r="G2046" i="2"/>
  <c r="H2046" i="2" s="1"/>
  <c r="G2011" i="2"/>
  <c r="H2011" i="2" s="1"/>
  <c r="G1348" i="2"/>
  <c r="H1348" i="2" s="1"/>
  <c r="G1898" i="2"/>
  <c r="H1898" i="2" s="1"/>
  <c r="H1899" i="2"/>
  <c r="G2069" i="2"/>
  <c r="H2070" i="2"/>
  <c r="G1872" i="2"/>
  <c r="H1872" i="2" s="1"/>
  <c r="H1873" i="2"/>
  <c r="G1466" i="2"/>
  <c r="H1467" i="2"/>
  <c r="G1084" i="2"/>
  <c r="H1084" i="2" s="1"/>
  <c r="H1085" i="2"/>
  <c r="G377" i="2"/>
  <c r="H377" i="2" s="1"/>
  <c r="H378" i="2"/>
  <c r="G206" i="2"/>
  <c r="H207" i="2"/>
  <c r="G2293" i="2"/>
  <c r="H2293" i="2" s="1"/>
  <c r="H2294" i="2"/>
  <c r="G1390" i="2"/>
  <c r="H1390" i="2" s="1"/>
  <c r="H1391" i="2"/>
  <c r="G1245" i="2"/>
  <c r="H1246" i="2"/>
  <c r="H1029" i="2"/>
  <c r="H1030" i="2"/>
  <c r="G652" i="2"/>
  <c r="H652" i="2" s="1"/>
  <c r="H653" i="2"/>
  <c r="G419" i="2"/>
  <c r="H420" i="2"/>
  <c r="G158" i="2"/>
  <c r="H159" i="2"/>
  <c r="G2320" i="2"/>
  <c r="H2321" i="2"/>
  <c r="G2260" i="2"/>
  <c r="H2261" i="2"/>
  <c r="G2169" i="2"/>
  <c r="H2170" i="2"/>
  <c r="G1852" i="2"/>
  <c r="H1852" i="2" s="1"/>
  <c r="H1853" i="2"/>
  <c r="G1737" i="2"/>
  <c r="H1738" i="2"/>
  <c r="G1564" i="2"/>
  <c r="H1565" i="2"/>
  <c r="G1382" i="2"/>
  <c r="H1382" i="2" s="1"/>
  <c r="H1383" i="2"/>
  <c r="G1339" i="2"/>
  <c r="H1339" i="2" s="1"/>
  <c r="H1340" i="2"/>
  <c r="H943" i="2"/>
  <c r="G165" i="2"/>
  <c r="H165" i="2" s="1"/>
  <c r="H166" i="2"/>
  <c r="G1118" i="2"/>
  <c r="H1119" i="2"/>
  <c r="G823" i="2"/>
  <c r="H823" i="2" s="1"/>
  <c r="H824" i="2"/>
  <c r="H1925" i="2"/>
  <c r="G1845" i="2"/>
  <c r="H1846" i="2"/>
  <c r="G1699" i="2"/>
  <c r="H1700" i="2"/>
  <c r="G1647" i="2"/>
  <c r="H1647" i="2" s="1"/>
  <c r="H1648" i="2"/>
  <c r="G1553" i="2"/>
  <c r="H1554" i="2"/>
  <c r="G1379" i="2"/>
  <c r="H1380" i="2"/>
  <c r="G1239" i="2"/>
  <c r="H1240" i="2"/>
  <c r="H1025" i="2"/>
  <c r="H1026" i="2"/>
  <c r="G901" i="2"/>
  <c r="H902" i="2"/>
  <c r="G708" i="2"/>
  <c r="H708" i="2" s="1"/>
  <c r="H709" i="2"/>
  <c r="G601" i="2"/>
  <c r="H602" i="2"/>
  <c r="G1908" i="2"/>
  <c r="H1908" i="2" s="1"/>
  <c r="H1909" i="2"/>
  <c r="G139" i="2"/>
  <c r="H139" i="2" s="1"/>
  <c r="H140" i="2"/>
  <c r="G1673" i="2"/>
  <c r="H1673" i="2" s="1"/>
  <c r="G333" i="2"/>
  <c r="H334" i="2"/>
  <c r="G1971" i="2"/>
  <c r="H1971" i="2" s="1"/>
  <c r="G2198" i="2"/>
  <c r="G59" i="2"/>
  <c r="G1806" i="2"/>
  <c r="H1806" i="2" s="1"/>
  <c r="H1807" i="2"/>
  <c r="G1103" i="2"/>
  <c r="G580" i="2"/>
  <c r="H584" i="2"/>
  <c r="G2276" i="2"/>
  <c r="H2276" i="2" s="1"/>
  <c r="H2277" i="2"/>
  <c r="G1330" i="2"/>
  <c r="G1602" i="2"/>
  <c r="H1606" i="2"/>
  <c r="H2271" i="2"/>
  <c r="G1142" i="2"/>
  <c r="H1143" i="2"/>
  <c r="G230" i="2"/>
  <c r="H231" i="2"/>
  <c r="G243" i="2"/>
  <c r="H244" i="2"/>
  <c r="G432" i="2"/>
  <c r="H432" i="2" s="1"/>
  <c r="H433" i="2"/>
  <c r="G38" i="2"/>
  <c r="H38" i="2" s="1"/>
  <c r="H39" i="2"/>
  <c r="G212" i="2"/>
  <c r="G211" i="2" s="1"/>
  <c r="H213" i="2"/>
  <c r="G1685" i="2"/>
  <c r="G1125" i="2"/>
  <c r="H1126" i="2"/>
  <c r="G569" i="2"/>
  <c r="H573" i="2"/>
  <c r="G561" i="2"/>
  <c r="G1288" i="2"/>
  <c r="H1288" i="2" s="1"/>
  <c r="H1289" i="2"/>
  <c r="G2231" i="2"/>
  <c r="H2235" i="2"/>
  <c r="G428" i="2"/>
  <c r="H429" i="2"/>
  <c r="G51" i="2"/>
  <c r="H52" i="2"/>
  <c r="G1255" i="2"/>
  <c r="H1256" i="2"/>
  <c r="G257" i="2"/>
  <c r="H258" i="2"/>
  <c r="G1904" i="2"/>
  <c r="H1904" i="2" s="1"/>
  <c r="H1905" i="2"/>
  <c r="G1625" i="2"/>
  <c r="H1625" i="2" s="1"/>
  <c r="H1629" i="2"/>
  <c r="G515" i="2"/>
  <c r="H516" i="2"/>
  <c r="G1712" i="2"/>
  <c r="G1711" i="2" s="1"/>
  <c r="H1713" i="2"/>
  <c r="G2172" i="2"/>
  <c r="H2172" i="2" s="1"/>
  <c r="H2173" i="2"/>
  <c r="G1997" i="2"/>
  <c r="H1997" i="2" s="1"/>
  <c r="H1998" i="2"/>
  <c r="G1794" i="2"/>
  <c r="H1794" i="2" s="1"/>
  <c r="H1795" i="2"/>
  <c r="G1511" i="2"/>
  <c r="H1512" i="2"/>
  <c r="G1434" i="2"/>
  <c r="H1434" i="2" s="1"/>
  <c r="H1435" i="2"/>
  <c r="G1386" i="2"/>
  <c r="H1386" i="2" s="1"/>
  <c r="H1387" i="2"/>
  <c r="G1280" i="2"/>
  <c r="H1281" i="2"/>
  <c r="H946" i="2"/>
  <c r="H947" i="2"/>
  <c r="G877" i="2"/>
  <c r="H877" i="2" s="1"/>
  <c r="H878" i="2"/>
  <c r="G628" i="2"/>
  <c r="H628" i="2" s="1"/>
  <c r="H629" i="2"/>
  <c r="G482" i="2"/>
  <c r="H482" i="2" s="1"/>
  <c r="H483" i="2"/>
  <c r="G281" i="2"/>
  <c r="H282" i="2"/>
  <c r="G113" i="2"/>
  <c r="H113" i="2" s="1"/>
  <c r="H114" i="2"/>
  <c r="G2227" i="2"/>
  <c r="H2228" i="2"/>
  <c r="G2110" i="2"/>
  <c r="H2111" i="2"/>
  <c r="G1476" i="2"/>
  <c r="H1476" i="2" s="1"/>
  <c r="H1477" i="2"/>
  <c r="G2117" i="2"/>
  <c r="H2118" i="2"/>
  <c r="G1887" i="2"/>
  <c r="H1888" i="2"/>
  <c r="G1536" i="2"/>
  <c r="H1536" i="2" s="1"/>
  <c r="H1537" i="2"/>
  <c r="G1506" i="2"/>
  <c r="H1507" i="2"/>
  <c r="G1430" i="2"/>
  <c r="H1431" i="2"/>
  <c r="G1188" i="2"/>
  <c r="H1188" i="2" s="1"/>
  <c r="H1189" i="2"/>
  <c r="G1080" i="2"/>
  <c r="H1080" i="2" s="1"/>
  <c r="H1081" i="2"/>
  <c r="G837" i="2"/>
  <c r="H838" i="2"/>
  <c r="G783" i="2"/>
  <c r="H783" i="2" s="1"/>
  <c r="H784" i="2"/>
  <c r="G636" i="2"/>
  <c r="H636" i="2" s="1"/>
  <c r="H637" i="2"/>
  <c r="H504" i="2"/>
  <c r="H505" i="2"/>
  <c r="G388" i="2"/>
  <c r="H389" i="2"/>
  <c r="G201" i="2"/>
  <c r="H202" i="2"/>
  <c r="G127" i="2"/>
  <c r="H127" i="2" s="1"/>
  <c r="H128" i="2"/>
  <c r="G1848" i="2"/>
  <c r="H1848" i="2" s="1"/>
  <c r="H1849" i="2"/>
  <c r="G401" i="2"/>
  <c r="H402" i="2"/>
  <c r="G2331" i="2"/>
  <c r="G2330" i="2" s="1"/>
  <c r="H2332" i="2"/>
  <c r="G2104" i="2"/>
  <c r="H2104" i="2" s="1"/>
  <c r="H2105" i="2"/>
  <c r="G1784" i="2"/>
  <c r="H1784" i="2" s="1"/>
  <c r="H1785" i="2"/>
  <c r="G1497" i="2"/>
  <c r="H1498" i="2"/>
  <c r="G1202" i="2"/>
  <c r="H1203" i="2"/>
  <c r="G931" i="2"/>
  <c r="H931" i="2" s="1"/>
  <c r="H932" i="2"/>
  <c r="G665" i="2"/>
  <c r="H665" i="2" s="1"/>
  <c r="H666" i="2"/>
  <c r="G495" i="2"/>
  <c r="H496" i="2"/>
  <c r="G72" i="2"/>
  <c r="H73" i="2"/>
  <c r="G1398" i="2"/>
  <c r="H1398" i="2" s="1"/>
  <c r="H1399" i="2"/>
  <c r="G1207" i="2"/>
  <c r="H1208" i="2"/>
  <c r="G468" i="2"/>
  <c r="H469" i="2"/>
  <c r="G2019" i="2"/>
  <c r="H2019" i="2" s="1"/>
  <c r="G32" i="2"/>
  <c r="H32" i="2" s="1"/>
  <c r="H33" i="2"/>
  <c r="G1357" i="2"/>
  <c r="G2035" i="2"/>
  <c r="H2035" i="2" s="1"/>
  <c r="G438" i="2"/>
  <c r="H438" i="2" s="1"/>
  <c r="G318" i="2"/>
  <c r="H319" i="2"/>
  <c r="G1721" i="2"/>
  <c r="H1721" i="2" s="1"/>
  <c r="G1636" i="2"/>
  <c r="H1636" i="2" s="1"/>
  <c r="H1640" i="2"/>
  <c r="G2026" i="2"/>
  <c r="H2026" i="2" s="1"/>
  <c r="H2030" i="2"/>
  <c r="G1774" i="2"/>
  <c r="H1775" i="2"/>
  <c r="G1964" i="2"/>
  <c r="H1964" i="2" s="1"/>
  <c r="G46" i="2"/>
  <c r="H47" i="2"/>
  <c r="G108" i="2"/>
  <c r="H109" i="2"/>
  <c r="G1295" i="2"/>
  <c r="H1296" i="2"/>
  <c r="G1546" i="2"/>
  <c r="H1547" i="2"/>
  <c r="G1653" i="2"/>
  <c r="H1653" i="2" s="1"/>
  <c r="H1660" i="2"/>
  <c r="G1788" i="2"/>
  <c r="H1788" i="2" s="1"/>
  <c r="H1789" i="2"/>
  <c r="G175" i="2"/>
  <c r="H176" i="2"/>
  <c r="H555" i="2"/>
  <c r="G1915" i="2"/>
  <c r="H1916" i="2"/>
  <c r="G82" i="2"/>
  <c r="H83" i="2"/>
  <c r="G296" i="2"/>
  <c r="H297" i="2"/>
  <c r="G2305" i="2"/>
  <c r="H2305" i="2" s="1"/>
  <c r="H2306" i="2"/>
  <c r="G2244" i="2"/>
  <c r="H2244" i="2" s="1"/>
  <c r="H2245" i="2"/>
  <c r="G2123" i="2"/>
  <c r="H2123" i="2" s="1"/>
  <c r="H2124" i="2"/>
  <c r="G2042" i="2"/>
  <c r="H2042" i="2" s="1"/>
  <c r="H2043" i="2"/>
  <c r="G1955" i="2"/>
  <c r="H1956" i="2"/>
  <c r="G1839" i="2"/>
  <c r="H1839" i="2" s="1"/>
  <c r="H1840" i="2"/>
  <c r="G1766" i="2"/>
  <c r="H1766" i="2" s="1"/>
  <c r="H1767" i="2"/>
  <c r="G996" i="2"/>
  <c r="H996" i="2" s="1"/>
  <c r="H997" i="2"/>
  <c r="H841" i="2"/>
  <c r="H842" i="2"/>
  <c r="G660" i="2"/>
  <c r="H660" i="2" s="1"/>
  <c r="H661" i="2"/>
  <c r="G597" i="2"/>
  <c r="H597" i="2" s="1"/>
  <c r="H598" i="2"/>
  <c r="G408" i="2"/>
  <c r="H408" i="2" s="1"/>
  <c r="H409" i="2"/>
  <c r="G348" i="2"/>
  <c r="H349" i="2"/>
  <c r="G2343" i="2"/>
  <c r="H2343" i="2" s="1"/>
  <c r="H2344" i="2"/>
  <c r="G2163" i="2"/>
  <c r="H2164" i="2"/>
  <c r="G1533" i="2"/>
  <c r="H1534" i="2"/>
  <c r="G1320" i="2"/>
  <c r="H1320" i="2" s="1"/>
  <c r="H1321" i="2"/>
  <c r="G791" i="2"/>
  <c r="H791" i="2" s="1"/>
  <c r="H792" i="2"/>
  <c r="G2347" i="2"/>
  <c r="H2347" i="2" s="1"/>
  <c r="H2348" i="2"/>
  <c r="G1460" i="2"/>
  <c r="H1460" i="2" s="1"/>
  <c r="H1461" i="2"/>
  <c r="H1033" i="2"/>
  <c r="H1034" i="2"/>
  <c r="G992" i="2"/>
  <c r="H992" i="2" s="1"/>
  <c r="H993" i="2"/>
  <c r="G809" i="2"/>
  <c r="H810" i="2"/>
  <c r="G273" i="2"/>
  <c r="H274" i="2"/>
  <c r="G1705" i="2"/>
  <c r="H1706" i="2"/>
  <c r="G1579" i="2"/>
  <c r="H1580" i="2"/>
  <c r="G1184" i="2"/>
  <c r="H1184" i="2" s="1"/>
  <c r="H1185" i="2"/>
  <c r="G881" i="2"/>
  <c r="H881" i="2" s="1"/>
  <c r="H882" i="2"/>
  <c r="G224" i="2"/>
  <c r="H225" i="2"/>
  <c r="G2290" i="2"/>
  <c r="H2291" i="2"/>
  <c r="G2157" i="2"/>
  <c r="H2157" i="2" s="1"/>
  <c r="H2158" i="2"/>
  <c r="G1749" i="2"/>
  <c r="H1750" i="2"/>
  <c r="G1527" i="2"/>
  <c r="H1527" i="2" s="1"/>
  <c r="H1528" i="2"/>
  <c r="G1418" i="2"/>
  <c r="H1419" i="2"/>
  <c r="G632" i="2"/>
  <c r="H632" i="2" s="1"/>
  <c r="H633" i="2"/>
  <c r="G549" i="2"/>
  <c r="H550" i="2"/>
  <c r="G413" i="2"/>
  <c r="H414" i="2"/>
  <c r="G381" i="2"/>
  <c r="H381" i="2" s="1"/>
  <c r="H382" i="2"/>
  <c r="G151" i="2"/>
  <c r="H152" i="2"/>
  <c r="G2061" i="2"/>
  <c r="H2062" i="2"/>
  <c r="G1821" i="2"/>
  <c r="H1821" i="2" s="1"/>
  <c r="H1822" i="2"/>
  <c r="G1523" i="2"/>
  <c r="H1523" i="2" s="1"/>
  <c r="H1524" i="2"/>
  <c r="G985" i="2"/>
  <c r="H985" i="2" s="1"/>
  <c r="H986" i="2"/>
  <c r="G589" i="2"/>
  <c r="H589" i="2" s="1"/>
  <c r="H590" i="2"/>
  <c r="G268" i="2"/>
  <c r="H269" i="2"/>
  <c r="G2216" i="2"/>
  <c r="G906" i="2"/>
  <c r="G2074" i="2"/>
  <c r="G1168" i="2"/>
  <c r="G1167" i="2" s="1"/>
  <c r="G1935" i="2"/>
  <c r="H1936" i="2"/>
  <c r="G1614" i="2"/>
  <c r="H1614" i="2" s="1"/>
  <c r="H1618" i="2"/>
  <c r="G795" i="2"/>
  <c r="H795" i="2" s="1"/>
  <c r="G21" i="2"/>
  <c r="H22" i="2"/>
  <c r="G2324" i="2"/>
  <c r="H2324" i="2" s="1"/>
  <c r="H2325" i="2"/>
  <c r="G2284" i="2"/>
  <c r="H2284" i="2" s="1"/>
  <c r="H2285" i="2"/>
  <c r="G2266" i="2"/>
  <c r="H2266" i="2" s="1"/>
  <c r="H2267" i="2"/>
  <c r="G2184" i="2"/>
  <c r="H2184" i="2" s="1"/>
  <c r="H2185" i="2"/>
  <c r="G2153" i="2"/>
  <c r="H2154" i="2"/>
  <c r="G2100" i="2"/>
  <c r="H2101" i="2"/>
  <c r="G1860" i="2"/>
  <c r="H1860" i="2" s="1"/>
  <c r="H1861" i="2"/>
  <c r="G1812" i="2"/>
  <c r="H1812" i="2" s="1"/>
  <c r="H1813" i="2"/>
  <c r="G1780" i="2"/>
  <c r="H1780" i="2" s="1"/>
  <c r="H1781" i="2"/>
  <c r="G1744" i="2"/>
  <c r="H1745" i="2"/>
  <c r="G1692" i="2"/>
  <c r="H1692" i="2" s="1"/>
  <c r="H1693" i="2"/>
  <c r="G1595" i="2"/>
  <c r="H1596" i="2"/>
  <c r="G1520" i="2"/>
  <c r="H1521" i="2"/>
  <c r="G1492" i="2"/>
  <c r="H1493" i="2"/>
  <c r="G1456" i="2"/>
  <c r="H1457" i="2"/>
  <c r="G1374" i="2"/>
  <c r="H1374" i="2" s="1"/>
  <c r="H1375" i="2"/>
  <c r="G1308" i="2"/>
  <c r="H1309" i="2"/>
  <c r="G1222" i="2"/>
  <c r="H1223" i="2"/>
  <c r="G1198" i="2"/>
  <c r="H1199" i="2"/>
  <c r="G1065" i="2"/>
  <c r="H1066" i="2"/>
  <c r="H1022" i="2"/>
  <c r="G979" i="2"/>
  <c r="H980" i="2"/>
  <c r="G926" i="2"/>
  <c r="H927" i="2"/>
  <c r="G889" i="2"/>
  <c r="H889" i="2" s="1"/>
  <c r="H890" i="2"/>
  <c r="G861" i="2"/>
  <c r="H861" i="2" s="1"/>
  <c r="H862" i="2"/>
  <c r="G831" i="2"/>
  <c r="H831" i="2" s="1"/>
  <c r="H832" i="2"/>
  <c r="G704" i="2"/>
  <c r="H704" i="2" s="1"/>
  <c r="H705" i="2"/>
  <c r="G640" i="2"/>
  <c r="H640" i="2" s="1"/>
  <c r="H641" i="2"/>
  <c r="G616" i="2"/>
  <c r="H616" i="2" s="1"/>
  <c r="H617" i="2"/>
  <c r="G541" i="2"/>
  <c r="H542" i="2"/>
  <c r="G509" i="2"/>
  <c r="H509" i="2" s="1"/>
  <c r="H510" i="2"/>
  <c r="G393" i="2"/>
  <c r="H394" i="2"/>
  <c r="G362" i="2"/>
  <c r="H363" i="2"/>
  <c r="G102" i="2"/>
  <c r="H103" i="2"/>
  <c r="G27" i="2"/>
  <c r="H28" i="2"/>
  <c r="G2313" i="2"/>
  <c r="H2314" i="2"/>
  <c r="G2140" i="2"/>
  <c r="H2141" i="2"/>
  <c r="G2092" i="2"/>
  <c r="H2093" i="2"/>
  <c r="G1665" i="2"/>
  <c r="H1665" i="2" s="1"/>
  <c r="H1666" i="2"/>
  <c r="G1424" i="2"/>
  <c r="H1425" i="2"/>
  <c r="G1365" i="2"/>
  <c r="H1366" i="2"/>
  <c r="G1271" i="2"/>
  <c r="H1271" i="2" s="1"/>
  <c r="H1272" i="2"/>
  <c r="G1093" i="2"/>
  <c r="H1094" i="2"/>
  <c r="G969" i="2"/>
  <c r="H970" i="2"/>
  <c r="G853" i="2"/>
  <c r="H853" i="2" s="1"/>
  <c r="H854" i="2"/>
  <c r="G695" i="2"/>
  <c r="H695" i="2" s="1"/>
  <c r="H696" i="2"/>
  <c r="G605" i="2"/>
  <c r="H605" i="2" s="1"/>
  <c r="H606" i="2"/>
  <c r="G370" i="2"/>
  <c r="H371" i="2"/>
  <c r="G193" i="2"/>
  <c r="H193" i="2" s="1"/>
  <c r="H194" i="2"/>
  <c r="G121" i="2"/>
  <c r="H121" i="2" s="1"/>
  <c r="H122" i="2"/>
  <c r="G2297" i="2"/>
  <c r="H2297" i="2" s="1"/>
  <c r="H2298" i="2"/>
  <c r="G2240" i="2"/>
  <c r="H2240" i="2" s="1"/>
  <c r="H2241" i="2"/>
  <c r="G2180" i="2"/>
  <c r="H2180" i="2" s="1"/>
  <c r="H2181" i="2"/>
  <c r="G2146" i="2"/>
  <c r="H2147" i="2"/>
  <c r="G2095" i="2"/>
  <c r="H2095" i="2" s="1"/>
  <c r="H2096" i="2"/>
  <c r="G2064" i="2"/>
  <c r="H2064" i="2" s="1"/>
  <c r="H2065" i="2"/>
  <c r="G1994" i="2"/>
  <c r="H1995" i="2"/>
  <c r="G1950" i="2"/>
  <c r="H1951" i="2"/>
  <c r="G1835" i="2"/>
  <c r="H1835" i="2" s="1"/>
  <c r="H1836" i="2"/>
  <c r="G1762" i="2"/>
  <c r="H1762" i="2" s="1"/>
  <c r="H1763" i="2"/>
  <c r="G1669" i="2"/>
  <c r="H1669" i="2" s="1"/>
  <c r="H1670" i="2"/>
  <c r="G1588" i="2"/>
  <c r="H1589" i="2"/>
  <c r="G1485" i="2"/>
  <c r="H1486" i="2"/>
  <c r="G1449" i="2"/>
  <c r="H1449" i="2" s="1"/>
  <c r="H1450" i="2"/>
  <c r="G1395" i="2"/>
  <c r="H1396" i="2"/>
  <c r="G1371" i="2"/>
  <c r="H1372" i="2"/>
  <c r="G1344" i="2"/>
  <c r="H1345" i="2"/>
  <c r="G1324" i="2"/>
  <c r="H1324" i="2" s="1"/>
  <c r="H1325" i="2"/>
  <c r="G1275" i="2"/>
  <c r="H1275" i="2" s="1"/>
  <c r="H1276" i="2"/>
  <c r="G1211" i="2"/>
  <c r="H1211" i="2" s="1"/>
  <c r="H1212" i="2"/>
  <c r="G1097" i="2"/>
  <c r="H1097" i="2" s="1"/>
  <c r="H1098" i="2"/>
  <c r="G1012" i="2"/>
  <c r="H1012" i="2" s="1"/>
  <c r="H1013" i="2"/>
  <c r="G974" i="2"/>
  <c r="H975" i="2"/>
  <c r="G885" i="2"/>
  <c r="H885" i="2" s="1"/>
  <c r="H886" i="2"/>
  <c r="G857" i="2"/>
  <c r="H857" i="2" s="1"/>
  <c r="H858" i="2"/>
  <c r="G827" i="2"/>
  <c r="H827" i="2" s="1"/>
  <c r="H828" i="2"/>
  <c r="G700" i="2"/>
  <c r="H701" i="2"/>
  <c r="G656" i="2"/>
  <c r="H656" i="2" s="1"/>
  <c r="H657" i="2"/>
  <c r="G624" i="2"/>
  <c r="H624" i="2" s="1"/>
  <c r="H625" i="2"/>
  <c r="G534" i="2"/>
  <c r="H535" i="2"/>
  <c r="G479" i="2"/>
  <c r="H480" i="2"/>
  <c r="G404" i="2"/>
  <c r="H404" i="2" s="1"/>
  <c r="H405" i="2"/>
  <c r="G181" i="2"/>
  <c r="H182" i="2"/>
  <c r="H145" i="2"/>
  <c r="G96" i="2"/>
  <c r="H96" i="2" s="1"/>
  <c r="H97" i="2"/>
  <c r="G1882" i="2"/>
  <c r="H1883" i="2"/>
  <c r="G1758" i="2"/>
  <c r="H1759" i="2"/>
  <c r="G1303" i="2"/>
  <c r="H1303" i="2" s="1"/>
  <c r="H1304" i="2"/>
  <c r="G1233" i="2"/>
  <c r="G1232" i="2" s="1"/>
  <c r="H1234" i="2"/>
  <c r="G1076" i="2"/>
  <c r="H1077" i="2"/>
  <c r="G935" i="2"/>
  <c r="H935" i="2" s="1"/>
  <c r="H936" i="2"/>
  <c r="G865" i="2"/>
  <c r="H865" i="2" s="1"/>
  <c r="H866" i="2"/>
  <c r="H776" i="2"/>
  <c r="H780" i="2"/>
  <c r="G620" i="2"/>
  <c r="H620" i="2" s="1"/>
  <c r="H621" i="2"/>
  <c r="G500" i="2"/>
  <c r="H501" i="2"/>
  <c r="H355" i="2"/>
  <c r="G289" i="2"/>
  <c r="H290" i="2"/>
  <c r="G2336" i="2"/>
  <c r="H2337" i="2"/>
  <c r="G2309" i="2"/>
  <c r="H2309" i="2" s="1"/>
  <c r="H2310" i="2"/>
  <c r="G2253" i="2"/>
  <c r="H2254" i="2"/>
  <c r="G2204" i="2"/>
  <c r="H2205" i="2"/>
  <c r="G2176" i="2"/>
  <c r="H2176" i="2" s="1"/>
  <c r="H2177" i="2"/>
  <c r="G2127" i="2"/>
  <c r="H2128" i="2"/>
  <c r="G2083" i="2"/>
  <c r="H2084" i="2"/>
  <c r="G1979" i="2"/>
  <c r="H1980" i="2"/>
  <c r="G1891" i="2"/>
  <c r="H1892" i="2"/>
  <c r="G1864" i="2"/>
  <c r="H1864" i="2" s="1"/>
  <c r="H1865" i="2"/>
  <c r="G1798" i="2"/>
  <c r="H1798" i="2" s="1"/>
  <c r="H1799" i="2"/>
  <c r="G1572" i="2"/>
  <c r="H1573" i="2"/>
  <c r="G1541" i="2"/>
  <c r="G1540" i="2" s="1"/>
  <c r="H1542" i="2"/>
  <c r="G1472" i="2"/>
  <c r="H1473" i="2"/>
  <c r="G1441" i="2"/>
  <c r="H1442" i="2"/>
  <c r="G1316" i="2"/>
  <c r="H1316" i="2" s="1"/>
  <c r="H1317" i="2"/>
  <c r="G1300" i="2"/>
  <c r="H1300" i="2" s="1"/>
  <c r="H1301" i="2"/>
  <c r="G1266" i="2"/>
  <c r="H1266" i="2" s="1"/>
  <c r="H1267" i="2"/>
  <c r="G1226" i="2"/>
  <c r="H1226" i="2" s="1"/>
  <c r="H1227" i="2"/>
  <c r="G1180" i="2"/>
  <c r="H1181" i="2"/>
  <c r="G1159" i="2"/>
  <c r="H1160" i="2"/>
  <c r="G1088" i="2"/>
  <c r="H1088" i="2" s="1"/>
  <c r="H1089" i="2"/>
  <c r="G1008" i="2"/>
  <c r="H1008" i="2" s="1"/>
  <c r="H1009" i="2"/>
  <c r="G957" i="2"/>
  <c r="H958" i="2"/>
  <c r="G916" i="2"/>
  <c r="H917" i="2"/>
  <c r="G845" i="2"/>
  <c r="H845" i="2" s="1"/>
  <c r="H846" i="2"/>
  <c r="G819" i="2"/>
  <c r="H820" i="2"/>
  <c r="G787" i="2"/>
  <c r="H787" i="2" s="1"/>
  <c r="H788" i="2"/>
  <c r="G691" i="2"/>
  <c r="H692" i="2"/>
  <c r="G644" i="2"/>
  <c r="H644" i="2" s="1"/>
  <c r="H645" i="2"/>
  <c r="G463" i="2"/>
  <c r="H464" i="2"/>
  <c r="G365" i="2"/>
  <c r="H365" i="2" s="1"/>
  <c r="H366" i="2"/>
  <c r="G1984" i="2"/>
  <c r="H1985" i="2"/>
  <c r="G1868" i="2"/>
  <c r="H1868" i="2" s="1"/>
  <c r="H1869" i="2"/>
  <c r="G1558" i="2"/>
  <c r="H1559" i="2"/>
  <c r="G1501" i="2"/>
  <c r="H1501" i="2" s="1"/>
  <c r="H1502" i="2"/>
  <c r="G1445" i="2"/>
  <c r="H1445" i="2" s="1"/>
  <c r="H1446" i="2"/>
  <c r="G1050" i="2"/>
  <c r="H1051" i="2"/>
  <c r="G920" i="2"/>
  <c r="H920" i="2" s="1"/>
  <c r="H921" i="2"/>
  <c r="G528" i="2"/>
  <c r="H529" i="2"/>
  <c r="G301" i="2"/>
  <c r="H301" i="2" s="1"/>
  <c r="H302" i="2"/>
  <c r="G93" i="2"/>
  <c r="H94" i="2"/>
  <c r="G769" i="2"/>
  <c r="H769" i="2" s="1"/>
  <c r="H770" i="2"/>
  <c r="G765" i="2"/>
  <c r="H765" i="2" s="1"/>
  <c r="H766" i="2"/>
  <c r="G761" i="2"/>
  <c r="H762" i="2"/>
  <c r="G756" i="2"/>
  <c r="H756" i="2" s="1"/>
  <c r="H757" i="2"/>
  <c r="G750" i="2"/>
  <c r="H751" i="2"/>
  <c r="G743" i="2"/>
  <c r="H744" i="2"/>
  <c r="G734" i="2"/>
  <c r="H735" i="2"/>
  <c r="G729" i="2"/>
  <c r="G728" i="2" s="1"/>
  <c r="H730" i="2"/>
  <c r="G724" i="2"/>
  <c r="H725" i="2"/>
  <c r="G718" i="2"/>
  <c r="H718" i="2" s="1"/>
  <c r="H719" i="2"/>
  <c r="G714" i="2"/>
  <c r="H715" i="2"/>
  <c r="G673" i="2"/>
  <c r="H673" i="2" s="1"/>
  <c r="H674" i="2"/>
  <c r="G308" i="2" l="1"/>
  <c r="H308" i="2" s="1"/>
  <c r="G1455" i="2"/>
  <c r="G1070" i="2"/>
  <c r="H1070" i="2" s="1"/>
  <c r="G836" i="2"/>
  <c r="G835" i="2" s="1"/>
  <c r="K835" i="2" s="1"/>
  <c r="G1897" i="2"/>
  <c r="G1896" i="2" s="1"/>
  <c r="H1774" i="2"/>
  <c r="G1773" i="2"/>
  <c r="H27" i="2"/>
  <c r="G2003" i="2"/>
  <c r="H2003" i="2" s="1"/>
  <c r="H724" i="2"/>
  <c r="G723" i="2"/>
  <c r="H809" i="2"/>
  <c r="G808" i="2"/>
  <c r="G807" i="2" s="1"/>
  <c r="G611" i="2"/>
  <c r="H837" i="2"/>
  <c r="H1506" i="2"/>
  <c r="H1511" i="2"/>
  <c r="G579" i="2"/>
  <c r="H974" i="2"/>
  <c r="H1344" i="2"/>
  <c r="G1343" i="2"/>
  <c r="G1338" i="2" s="1"/>
  <c r="H1308" i="2"/>
  <c r="G1307" i="2"/>
  <c r="G1306" i="2" s="1"/>
  <c r="G1206" i="2"/>
  <c r="H1206" i="2" s="1"/>
  <c r="G775" i="2"/>
  <c r="G774" i="2" s="1"/>
  <c r="G773" i="2" s="1"/>
  <c r="I773" i="2" s="1"/>
  <c r="H1882" i="2"/>
  <c r="H248" i="2"/>
  <c r="G31" i="2"/>
  <c r="H31" i="2" s="1"/>
  <c r="G1402" i="2"/>
  <c r="H1402" i="2" s="1"/>
  <c r="G462" i="2"/>
  <c r="H463" i="2"/>
  <c r="G1158" i="2"/>
  <c r="G1157" i="2" s="1"/>
  <c r="H1159" i="2"/>
  <c r="H1441" i="2"/>
  <c r="G1440" i="2"/>
  <c r="G1890" i="2"/>
  <c r="H1890" i="2" s="1"/>
  <c r="H1891" i="2"/>
  <c r="H2336" i="2"/>
  <c r="G2335" i="2"/>
  <c r="H2335" i="2" s="1"/>
  <c r="H1758" i="2"/>
  <c r="G1757" i="2"/>
  <c r="H1757" i="2" s="1"/>
  <c r="H479" i="2"/>
  <c r="G474" i="2"/>
  <c r="G1394" i="2"/>
  <c r="H1394" i="2" s="1"/>
  <c r="H1395" i="2"/>
  <c r="H1021" i="2"/>
  <c r="G1016" i="2"/>
  <c r="G1743" i="2"/>
  <c r="H1744" i="2"/>
  <c r="G467" i="2"/>
  <c r="H467" i="2" s="1"/>
  <c r="H468" i="2"/>
  <c r="G1201" i="2"/>
  <c r="H1201" i="2" s="1"/>
  <c r="H1202" i="2"/>
  <c r="G1963" i="2"/>
  <c r="G185" i="2"/>
  <c r="H185" i="2" s="1"/>
  <c r="G2073" i="2"/>
  <c r="H2073" i="2" s="1"/>
  <c r="H2074" i="2"/>
  <c r="G267" i="2"/>
  <c r="H268" i="2"/>
  <c r="H2061" i="2"/>
  <c r="G2060" i="2"/>
  <c r="G412" i="2"/>
  <c r="H412" i="2" s="1"/>
  <c r="H413" i="2"/>
  <c r="G2289" i="2"/>
  <c r="H2290" i="2"/>
  <c r="G1578" i="2"/>
  <c r="H1579" i="2"/>
  <c r="G272" i="2"/>
  <c r="H272" i="2" s="1"/>
  <c r="H273" i="2"/>
  <c r="G2162" i="2"/>
  <c r="H2162" i="2" s="1"/>
  <c r="H2163" i="2"/>
  <c r="H348" i="2"/>
  <c r="G347" i="2"/>
  <c r="H347" i="2" s="1"/>
  <c r="G295" i="2"/>
  <c r="H296" i="2"/>
  <c r="G1914" i="2"/>
  <c r="H1915" i="2"/>
  <c r="G1545" i="2"/>
  <c r="H1545" i="2" s="1"/>
  <c r="H1546" i="2"/>
  <c r="G107" i="2"/>
  <c r="H108" i="2"/>
  <c r="G256" i="2"/>
  <c r="H257" i="2"/>
  <c r="G50" i="2"/>
  <c r="H50" i="2" s="1"/>
  <c r="H51" i="2"/>
  <c r="G2230" i="2"/>
  <c r="H2231" i="2"/>
  <c r="G1684" i="2"/>
  <c r="H1685" i="2"/>
  <c r="H212" i="2"/>
  <c r="G242" i="2"/>
  <c r="H242" i="2" s="1"/>
  <c r="H243" i="2"/>
  <c r="G1141" i="2"/>
  <c r="H1142" i="2"/>
  <c r="G1601" i="2"/>
  <c r="H1601" i="2" s="1"/>
  <c r="H1602" i="2"/>
  <c r="H1312" i="2"/>
  <c r="G900" i="2"/>
  <c r="H901" i="2"/>
  <c r="G1238" i="2"/>
  <c r="H1239" i="2"/>
  <c r="G1378" i="2"/>
  <c r="H1378" i="2" s="1"/>
  <c r="H1379" i="2"/>
  <c r="H1553" i="2"/>
  <c r="G1698" i="2"/>
  <c r="H1699" i="2"/>
  <c r="G1923" i="2"/>
  <c r="H1924" i="2"/>
  <c r="G1117" i="2"/>
  <c r="H1118" i="2"/>
  <c r="H942" i="2"/>
  <c r="G1563" i="2"/>
  <c r="H1564" i="2"/>
  <c r="G2259" i="2"/>
  <c r="H2259" i="2" s="1"/>
  <c r="H2260" i="2"/>
  <c r="G157" i="2"/>
  <c r="H158" i="2"/>
  <c r="G1244" i="2"/>
  <c r="H1245" i="2"/>
  <c r="G205" i="2"/>
  <c r="H205" i="2" s="1"/>
  <c r="H206" i="2"/>
  <c r="G1465" i="2"/>
  <c r="H1466" i="2"/>
  <c r="G92" i="2"/>
  <c r="H93" i="2"/>
  <c r="H1541" i="2"/>
  <c r="H1540" i="2"/>
  <c r="H1233" i="2"/>
  <c r="H1994" i="2"/>
  <c r="G1993" i="2"/>
  <c r="G361" i="2"/>
  <c r="H361" i="2" s="1"/>
  <c r="H362" i="2"/>
  <c r="G1197" i="2"/>
  <c r="H1198" i="2"/>
  <c r="H2153" i="2"/>
  <c r="G2152" i="2"/>
  <c r="G71" i="2"/>
  <c r="H72" i="2"/>
  <c r="H1497" i="2"/>
  <c r="G1496" i="2"/>
  <c r="H2331" i="2"/>
  <c r="G387" i="2"/>
  <c r="H387" i="2" s="1"/>
  <c r="H388" i="2"/>
  <c r="H1712" i="2"/>
  <c r="G1124" i="2"/>
  <c r="H1125" i="2"/>
  <c r="H916" i="2"/>
  <c r="G915" i="2"/>
  <c r="G1471" i="2"/>
  <c r="H1472" i="2"/>
  <c r="G1978" i="2"/>
  <c r="H1978" i="2" s="1"/>
  <c r="H1979" i="2"/>
  <c r="H2127" i="2"/>
  <c r="G2122" i="2"/>
  <c r="G2203" i="2"/>
  <c r="H2203" i="2" s="1"/>
  <c r="H2204" i="2"/>
  <c r="G288" i="2"/>
  <c r="H289" i="2"/>
  <c r="H500" i="2"/>
  <c r="G499" i="2"/>
  <c r="H499" i="2" s="1"/>
  <c r="G533" i="2"/>
  <c r="H534" i="2"/>
  <c r="H700" i="2"/>
  <c r="G699" i="2"/>
  <c r="H699" i="2" s="1"/>
  <c r="G1370" i="2"/>
  <c r="H1371" i="2"/>
  <c r="G1587" i="2"/>
  <c r="H1588" i="2"/>
  <c r="G1949" i="2"/>
  <c r="H1950" i="2"/>
  <c r="G2145" i="2"/>
  <c r="H2146" i="2"/>
  <c r="G968" i="2"/>
  <c r="H968" i="2" s="1"/>
  <c r="H969" i="2"/>
  <c r="G1423" i="2"/>
  <c r="H1424" i="2"/>
  <c r="G2139" i="2"/>
  <c r="H2140" i="2"/>
  <c r="H2313" i="2"/>
  <c r="G2304" i="2"/>
  <c r="G101" i="2"/>
  <c r="H101" i="2" s="1"/>
  <c r="H102" i="2"/>
  <c r="H393" i="2"/>
  <c r="G392" i="2"/>
  <c r="G540" i="2"/>
  <c r="H541" i="2"/>
  <c r="H979" i="2"/>
  <c r="G978" i="2"/>
  <c r="G973" i="2" s="1"/>
  <c r="H1065" i="2"/>
  <c r="H1222" i="2"/>
  <c r="H1456" i="2"/>
  <c r="G1519" i="2"/>
  <c r="H1519" i="2" s="1"/>
  <c r="H1520" i="2"/>
  <c r="H2100" i="2"/>
  <c r="G2099" i="2"/>
  <c r="G20" i="2"/>
  <c r="H21" i="2"/>
  <c r="G905" i="2"/>
  <c r="H906" i="2"/>
  <c r="G494" i="2"/>
  <c r="H495" i="2"/>
  <c r="G400" i="2"/>
  <c r="H400" i="2" s="1"/>
  <c r="H401" i="2"/>
  <c r="G200" i="2"/>
  <c r="H200" i="2" s="1"/>
  <c r="H201" i="2"/>
  <c r="H1430" i="2"/>
  <c r="G1429" i="2"/>
  <c r="G2116" i="2"/>
  <c r="H2117" i="2"/>
  <c r="G2223" i="2"/>
  <c r="G2222" i="2" s="1"/>
  <c r="H2227" i="2"/>
  <c r="G280" i="2"/>
  <c r="H281" i="2"/>
  <c r="H1280" i="2"/>
  <c r="G1279" i="2"/>
  <c r="G514" i="2"/>
  <c r="H515" i="2"/>
  <c r="G568" i="2"/>
  <c r="H568" i="2" s="1"/>
  <c r="H569" i="2"/>
  <c r="G1329" i="2"/>
  <c r="H1330" i="2"/>
  <c r="H580" i="2"/>
  <c r="G58" i="2"/>
  <c r="H59" i="2"/>
  <c r="G332" i="2"/>
  <c r="H332" i="2" s="1"/>
  <c r="H333" i="2"/>
  <c r="H819" i="2"/>
  <c r="G818" i="2"/>
  <c r="G956" i="2"/>
  <c r="H957" i="2"/>
  <c r="G2082" i="2"/>
  <c r="H2083" i="2"/>
  <c r="G2252" i="2"/>
  <c r="H2252" i="2" s="1"/>
  <c r="H2253" i="2"/>
  <c r="H1076" i="2"/>
  <c r="G1075" i="2"/>
  <c r="G180" i="2"/>
  <c r="H180" i="2" s="1"/>
  <c r="H181" i="2"/>
  <c r="G1484" i="2"/>
  <c r="H1485" i="2"/>
  <c r="H370" i="2"/>
  <c r="G369" i="2"/>
  <c r="H369" i="2" s="1"/>
  <c r="H1093" i="2"/>
  <c r="G1092" i="2"/>
  <c r="H1092" i="2" s="1"/>
  <c r="G1364" i="2"/>
  <c r="H1364" i="2" s="1"/>
  <c r="H1365" i="2"/>
  <c r="H2092" i="2"/>
  <c r="G2091" i="2"/>
  <c r="H926" i="2"/>
  <c r="G925" i="2"/>
  <c r="G924" i="2" s="1"/>
  <c r="K924" i="2" s="1"/>
  <c r="G1491" i="2"/>
  <c r="H1491" i="2" s="1"/>
  <c r="H1492" i="2"/>
  <c r="G1594" i="2"/>
  <c r="H1595" i="2"/>
  <c r="H1168" i="2"/>
  <c r="H1207" i="2"/>
  <c r="G1886" i="2"/>
  <c r="H1886" i="2" s="1"/>
  <c r="H1887" i="2"/>
  <c r="G2109" i="2"/>
  <c r="H2110" i="2"/>
  <c r="G560" i="2"/>
  <c r="H560" i="2" s="1"/>
  <c r="H561" i="2"/>
  <c r="G527" i="2"/>
  <c r="H527" i="2" s="1"/>
  <c r="H528" i="2"/>
  <c r="G1049" i="2"/>
  <c r="H1049" i="2" s="1"/>
  <c r="H1050" i="2"/>
  <c r="G1557" i="2"/>
  <c r="H1557" i="2" s="1"/>
  <c r="H1558" i="2"/>
  <c r="G1983" i="2"/>
  <c r="H1983" i="2" s="1"/>
  <c r="H1984" i="2"/>
  <c r="H691" i="2"/>
  <c r="G690" i="2"/>
  <c r="H1180" i="2"/>
  <c r="G1179" i="2"/>
  <c r="G1571" i="2"/>
  <c r="H1572" i="2"/>
  <c r="G1613" i="2"/>
  <c r="G1652" i="2"/>
  <c r="G1934" i="2"/>
  <c r="H1935" i="2"/>
  <c r="G2212" i="2"/>
  <c r="H2216" i="2"/>
  <c r="H151" i="2"/>
  <c r="G143" i="2"/>
  <c r="H143" i="2" s="1"/>
  <c r="G548" i="2"/>
  <c r="H549" i="2"/>
  <c r="G1417" i="2"/>
  <c r="H1418" i="2"/>
  <c r="G1748" i="2"/>
  <c r="H1748" i="2" s="1"/>
  <c r="H1749" i="2"/>
  <c r="G223" i="2"/>
  <c r="H224" i="2"/>
  <c r="G1704" i="2"/>
  <c r="H1705" i="2"/>
  <c r="G1532" i="2"/>
  <c r="H1533" i="2"/>
  <c r="G1954" i="2"/>
  <c r="H1954" i="2" s="1"/>
  <c r="H1955" i="2"/>
  <c r="G81" i="2"/>
  <c r="G80" i="2" s="1"/>
  <c r="H82" i="2"/>
  <c r="G664" i="2"/>
  <c r="H664" i="2" s="1"/>
  <c r="G174" i="2"/>
  <c r="H175" i="2"/>
  <c r="G1294" i="2"/>
  <c r="H1294" i="2" s="1"/>
  <c r="H1295" i="2"/>
  <c r="G45" i="2"/>
  <c r="H45" i="2" s="1"/>
  <c r="H46" i="2"/>
  <c r="G317" i="2"/>
  <c r="H318" i="2"/>
  <c r="G1356" i="2"/>
  <c r="H1357" i="2"/>
  <c r="G1254" i="2"/>
  <c r="H1255" i="2"/>
  <c r="G427" i="2"/>
  <c r="H428" i="2"/>
  <c r="G1820" i="2"/>
  <c r="G229" i="2"/>
  <c r="H230" i="2"/>
  <c r="G2265" i="2"/>
  <c r="G2264" i="2" s="1"/>
  <c r="G1102" i="2"/>
  <c r="G1101" i="2" s="1"/>
  <c r="H1103" i="2"/>
  <c r="G2197" i="2"/>
  <c r="G2192" i="2" s="1"/>
  <c r="H2198" i="2"/>
  <c r="H601" i="2"/>
  <c r="G596" i="2"/>
  <c r="G1844" i="2"/>
  <c r="G1843" i="2" s="1"/>
  <c r="H1845" i="2"/>
  <c r="G1736" i="2"/>
  <c r="H1737" i="2"/>
  <c r="G2168" i="2"/>
  <c r="G2167" i="2" s="1"/>
  <c r="H2169" i="2"/>
  <c r="H2320" i="2"/>
  <c r="G2319" i="2"/>
  <c r="H2319" i="2" s="1"/>
  <c r="G2318" i="2"/>
  <c r="G418" i="2"/>
  <c r="H419" i="2"/>
  <c r="G2068" i="2"/>
  <c r="H2069" i="2"/>
  <c r="H761" i="2"/>
  <c r="G760" i="2"/>
  <c r="H760" i="2" s="1"/>
  <c r="G749" i="2"/>
  <c r="H750" i="2"/>
  <c r="G742" i="2"/>
  <c r="H743" i="2"/>
  <c r="G733" i="2"/>
  <c r="H733" i="2" s="1"/>
  <c r="H734" i="2"/>
  <c r="H729" i="2"/>
  <c r="H728" i="2"/>
  <c r="H714" i="2"/>
  <c r="G713" i="2"/>
  <c r="G712" i="2" s="1"/>
  <c r="H1897" i="2" l="1"/>
  <c r="H1016" i="2"/>
  <c r="K1016" i="2"/>
  <c r="H956" i="2"/>
  <c r="G941" i="2"/>
  <c r="K941" i="2" s="1"/>
  <c r="G26" i="2"/>
  <c r="G25" i="2" s="1"/>
  <c r="H25" i="2" s="1"/>
  <c r="H1179" i="2"/>
  <c r="G1369" i="2"/>
  <c r="H1369" i="2" s="1"/>
  <c r="G1510" i="2"/>
  <c r="H1254" i="2"/>
  <c r="G1253" i="2"/>
  <c r="G1881" i="2"/>
  <c r="G1880" i="2" s="1"/>
  <c r="H1880" i="2" s="1"/>
  <c r="G1048" i="2"/>
  <c r="G2221" i="2"/>
  <c r="G2161" i="2"/>
  <c r="I2161" i="2" s="1"/>
  <c r="H2168" i="2"/>
  <c r="H2192" i="2"/>
  <c r="H2197" i="2"/>
  <c r="H81" i="2"/>
  <c r="G1416" i="2"/>
  <c r="H1416" i="2" s="1"/>
  <c r="H1417" i="2"/>
  <c r="G1593" i="2"/>
  <c r="H1594" i="2"/>
  <c r="G1586" i="2"/>
  <c r="H1587" i="2"/>
  <c r="G1464" i="2"/>
  <c r="H1464" i="2" s="1"/>
  <c r="H1465" i="2"/>
  <c r="H2230" i="2"/>
  <c r="H229" i="2"/>
  <c r="G228" i="2"/>
  <c r="G1355" i="2"/>
  <c r="H1355" i="2" s="1"/>
  <c r="H1356" i="2"/>
  <c r="G164" i="2"/>
  <c r="H174" i="2"/>
  <c r="G1651" i="2"/>
  <c r="H1651" i="2" s="1"/>
  <c r="H1652" i="2"/>
  <c r="H690" i="2"/>
  <c r="G689" i="2"/>
  <c r="H689" i="2" s="1"/>
  <c r="G817" i="2"/>
  <c r="H817" i="2" s="1"/>
  <c r="H818" i="2"/>
  <c r="G1428" i="2"/>
  <c r="H1429" i="2"/>
  <c r="G2098" i="2"/>
  <c r="H2098" i="2" s="1"/>
  <c r="H2099" i="2"/>
  <c r="G1454" i="2"/>
  <c r="H1455" i="2"/>
  <c r="G2121" i="2"/>
  <c r="H2122" i="2"/>
  <c r="H808" i="2"/>
  <c r="G2151" i="2"/>
  <c r="H2151" i="2" s="1"/>
  <c r="H2152" i="2"/>
  <c r="G1992" i="2"/>
  <c r="H1993" i="2"/>
  <c r="G1913" i="2"/>
  <c r="H1914" i="2"/>
  <c r="G1577" i="2"/>
  <c r="H1578" i="2"/>
  <c r="H462" i="2"/>
  <c r="G461" i="2"/>
  <c r="H461" i="2" s="1"/>
  <c r="G2317" i="2"/>
  <c r="H2317" i="2" s="1"/>
  <c r="H2318" i="2"/>
  <c r="G2211" i="2"/>
  <c r="H2212" i="2"/>
  <c r="G2108" i="2"/>
  <c r="H2108" i="2" s="1"/>
  <c r="H2109" i="2"/>
  <c r="H2223" i="2"/>
  <c r="H2222" i="2"/>
  <c r="G19" i="2"/>
  <c r="H20" i="2"/>
  <c r="G2138" i="2"/>
  <c r="H2139" i="2"/>
  <c r="G2144" i="2"/>
  <c r="H2144" i="2" s="1"/>
  <c r="H2145" i="2"/>
  <c r="H1711" i="2"/>
  <c r="G1710" i="2"/>
  <c r="H92" i="2"/>
  <c r="G91" i="2"/>
  <c r="H91" i="2" s="1"/>
  <c r="G1243" i="2"/>
  <c r="H1243" i="2" s="1"/>
  <c r="H1244" i="2"/>
  <c r="G1237" i="2"/>
  <c r="H1237" i="2" s="1"/>
  <c r="H1238" i="2"/>
  <c r="G210" i="2"/>
  <c r="H211" i="2"/>
  <c r="H107" i="2"/>
  <c r="G106" i="2"/>
  <c r="H2060" i="2"/>
  <c r="G2018" i="2"/>
  <c r="G473" i="2"/>
  <c r="H474" i="2"/>
  <c r="G1819" i="2"/>
  <c r="H1820" i="2"/>
  <c r="H1532" i="2"/>
  <c r="G1531" i="2"/>
  <c r="H1531" i="2" s="1"/>
  <c r="G1703" i="2"/>
  <c r="H1703" i="2" s="1"/>
  <c r="H1704" i="2"/>
  <c r="H548" i="2"/>
  <c r="G1933" i="2"/>
  <c r="H1934" i="2"/>
  <c r="G1756" i="2"/>
  <c r="H1773" i="2"/>
  <c r="G1570" i="2"/>
  <c r="H1571" i="2"/>
  <c r="G57" i="2"/>
  <c r="H58" i="2"/>
  <c r="G1328" i="2"/>
  <c r="H1328" i="2" s="1"/>
  <c r="H1329" i="2"/>
  <c r="G513" i="2"/>
  <c r="H513" i="2" s="1"/>
  <c r="H514" i="2"/>
  <c r="G279" i="2"/>
  <c r="H280" i="2"/>
  <c r="G904" i="2"/>
  <c r="H904" i="2" s="1"/>
  <c r="H905" i="2"/>
  <c r="G539" i="2"/>
  <c r="H539" i="2" s="1"/>
  <c r="H540" i="2"/>
  <c r="G1422" i="2"/>
  <c r="H1422" i="2" s="1"/>
  <c r="H1423" i="2"/>
  <c r="H1949" i="2"/>
  <c r="G1948" i="2"/>
  <c r="H1370" i="2"/>
  <c r="G287" i="2"/>
  <c r="H287" i="2" s="1"/>
  <c r="H288" i="2"/>
  <c r="G1470" i="2"/>
  <c r="H1470" i="2" s="1"/>
  <c r="H1471" i="2"/>
  <c r="G1123" i="2"/>
  <c r="H1124" i="2"/>
  <c r="G1196" i="2"/>
  <c r="H1196" i="2" s="1"/>
  <c r="H1197" i="2"/>
  <c r="G156" i="2"/>
  <c r="H157" i="2"/>
  <c r="G1562" i="2"/>
  <c r="H1563" i="2"/>
  <c r="G1116" i="2"/>
  <c r="H1117" i="2"/>
  <c r="G1697" i="2"/>
  <c r="H1698" i="2"/>
  <c r="G899" i="2"/>
  <c r="H900" i="2"/>
  <c r="G1683" i="2"/>
  <c r="H1684" i="2"/>
  <c r="H1515" i="2"/>
  <c r="H1844" i="2"/>
  <c r="H1843" i="2"/>
  <c r="H427" i="2"/>
  <c r="G426" i="2"/>
  <c r="G425" i="2" s="1"/>
  <c r="G222" i="2"/>
  <c r="H223" i="2"/>
  <c r="G1483" i="2"/>
  <c r="H1484" i="2"/>
  <c r="G2081" i="2"/>
  <c r="H2081" i="2" s="1"/>
  <c r="H2082" i="2"/>
  <c r="G578" i="2"/>
  <c r="H578" i="2" s="1"/>
  <c r="H579" i="2"/>
  <c r="G2115" i="2"/>
  <c r="H2115" i="2" s="1"/>
  <c r="H2116" i="2"/>
  <c r="H494" i="2"/>
  <c r="G532" i="2"/>
  <c r="H532" i="2" s="1"/>
  <c r="H533" i="2"/>
  <c r="G69" i="2"/>
  <c r="H69" i="2" s="1"/>
  <c r="H71" i="2"/>
  <c r="G70" i="2"/>
  <c r="H70" i="2" s="1"/>
  <c r="G1922" i="2"/>
  <c r="H1923" i="2"/>
  <c r="G1140" i="2"/>
  <c r="H1141" i="2"/>
  <c r="G255" i="2"/>
  <c r="H256" i="2"/>
  <c r="G1439" i="2"/>
  <c r="H1440" i="2"/>
  <c r="G1735" i="2"/>
  <c r="H1735" i="2" s="1"/>
  <c r="H1736" i="2"/>
  <c r="H1102" i="2"/>
  <c r="G755" i="2"/>
  <c r="G754" i="2" s="1"/>
  <c r="H754" i="2" s="1"/>
  <c r="G2067" i="2"/>
  <c r="H2067" i="2" s="1"/>
  <c r="H2068" i="2"/>
  <c r="G417" i="2"/>
  <c r="H417" i="2" s="1"/>
  <c r="H418" i="2"/>
  <c r="G595" i="2"/>
  <c r="H596" i="2"/>
  <c r="H2265" i="2"/>
  <c r="H611" i="2"/>
  <c r="G610" i="2"/>
  <c r="H317" i="2"/>
  <c r="G316" i="2"/>
  <c r="G315" i="2" s="1"/>
  <c r="H775" i="2"/>
  <c r="G1600" i="2"/>
  <c r="H1613" i="2"/>
  <c r="H924" i="2"/>
  <c r="H925" i="2"/>
  <c r="G2090" i="2"/>
  <c r="H2091" i="2"/>
  <c r="H1075" i="2"/>
  <c r="G1069" i="2"/>
  <c r="H1069" i="2" s="1"/>
  <c r="G1270" i="2"/>
  <c r="H1270" i="2" s="1"/>
  <c r="H1279" i="2"/>
  <c r="G1220" i="2"/>
  <c r="H1221" i="2"/>
  <c r="H973" i="2"/>
  <c r="H978" i="2"/>
  <c r="G391" i="2"/>
  <c r="H392" i="2"/>
  <c r="G2303" i="2"/>
  <c r="H2304" i="2"/>
  <c r="G914" i="2"/>
  <c r="H915" i="2"/>
  <c r="G1490" i="2"/>
  <c r="H1490" i="2" s="1"/>
  <c r="H1496" i="2"/>
  <c r="G1231" i="2"/>
  <c r="H1232" i="2"/>
  <c r="G1552" i="2"/>
  <c r="G553" i="2"/>
  <c r="H553" i="2" s="1"/>
  <c r="H554" i="2"/>
  <c r="G294" i="2"/>
  <c r="H295" i="2"/>
  <c r="H2289" i="2"/>
  <c r="G2288" i="2"/>
  <c r="H2288" i="2" s="1"/>
  <c r="G266" i="2"/>
  <c r="H267" i="2"/>
  <c r="G1962" i="2"/>
  <c r="H1963" i="2"/>
  <c r="H1743" i="2"/>
  <c r="G1742" i="2"/>
  <c r="H1158" i="2"/>
  <c r="G1895" i="2"/>
  <c r="H1895" i="2" s="1"/>
  <c r="H1896" i="2"/>
  <c r="G748" i="2"/>
  <c r="H749" i="2"/>
  <c r="G741" i="2"/>
  <c r="H742" i="2"/>
  <c r="H723" i="2"/>
  <c r="G722" i="2"/>
  <c r="H713" i="2"/>
  <c r="H1048" i="2" l="1"/>
  <c r="K1048" i="2"/>
  <c r="G940" i="2"/>
  <c r="G806" i="2"/>
  <c r="H1101" i="2"/>
  <c r="K1101" i="2"/>
  <c r="H914" i="2"/>
  <c r="K914" i="2"/>
  <c r="H1881" i="2"/>
  <c r="G493" i="2"/>
  <c r="G492" i="2" s="1"/>
  <c r="G1252" i="2"/>
  <c r="G1505" i="2"/>
  <c r="G547" i="2"/>
  <c r="H26" i="2"/>
  <c r="H722" i="2"/>
  <c r="G688" i="2"/>
  <c r="H755" i="2"/>
  <c r="H1343" i="2"/>
  <c r="H1338" i="2"/>
  <c r="H2330" i="2"/>
  <c r="G2329" i="2"/>
  <c r="G2114" i="2"/>
  <c r="H2114" i="2" s="1"/>
  <c r="H2121" i="2"/>
  <c r="H266" i="2"/>
  <c r="G265" i="2"/>
  <c r="H265" i="2" s="1"/>
  <c r="G1230" i="2"/>
  <c r="H1230" i="2" s="1"/>
  <c r="H1231" i="2"/>
  <c r="G386" i="2"/>
  <c r="H391" i="2"/>
  <c r="G1219" i="2"/>
  <c r="H1219" i="2" s="1"/>
  <c r="H1220" i="2"/>
  <c r="H773" i="2"/>
  <c r="H774" i="2"/>
  <c r="G594" i="2"/>
  <c r="H594" i="2" s="1"/>
  <c r="H595" i="2"/>
  <c r="G1482" i="2"/>
  <c r="H1482" i="2" s="1"/>
  <c r="H1483" i="2"/>
  <c r="H1510" i="2"/>
  <c r="G898" i="2"/>
  <c r="H899" i="2"/>
  <c r="G1115" i="2"/>
  <c r="H1115" i="2" s="1"/>
  <c r="H1116" i="2"/>
  <c r="G155" i="2"/>
  <c r="H155" i="2" s="1"/>
  <c r="H156" i="2"/>
  <c r="G1122" i="2"/>
  <c r="H1123" i="2"/>
  <c r="G278" i="2"/>
  <c r="H278" i="2" s="1"/>
  <c r="H279" i="2"/>
  <c r="G90" i="2"/>
  <c r="H106" i="2"/>
  <c r="G1156" i="2"/>
  <c r="H1157" i="2"/>
  <c r="G2258" i="2"/>
  <c r="H2264" i="2"/>
  <c r="H1167" i="2"/>
  <c r="G1166" i="2"/>
  <c r="G1991" i="2"/>
  <c r="H1992" i="2"/>
  <c r="G1592" i="2"/>
  <c r="H1592" i="2" s="1"/>
  <c r="H1593" i="2"/>
  <c r="H294" i="2"/>
  <c r="G293" i="2"/>
  <c r="G2089" i="2"/>
  <c r="H2090" i="2"/>
  <c r="H1600" i="2"/>
  <c r="G1599" i="2"/>
  <c r="G221" i="2"/>
  <c r="H221" i="2" s="1"/>
  <c r="H222" i="2"/>
  <c r="G1682" i="2"/>
  <c r="H1682" i="2" s="1"/>
  <c r="H1683" i="2"/>
  <c r="H1697" i="2"/>
  <c r="G1696" i="2"/>
  <c r="H1696" i="2" s="1"/>
  <c r="G1561" i="2"/>
  <c r="H1561" i="2" s="1"/>
  <c r="H1562" i="2"/>
  <c r="G56" i="2"/>
  <c r="H56" i="2" s="1"/>
  <c r="H57" i="2"/>
  <c r="H835" i="2"/>
  <c r="H836" i="2"/>
  <c r="H2018" i="2"/>
  <c r="G2002" i="2"/>
  <c r="G2001" i="2" s="1"/>
  <c r="G2000" i="2" s="1"/>
  <c r="G1709" i="2"/>
  <c r="H1710" i="2"/>
  <c r="H807" i="2"/>
  <c r="H228" i="2"/>
  <c r="H1253" i="2"/>
  <c r="H2167" i="2"/>
  <c r="G1551" i="2"/>
  <c r="H1552" i="2"/>
  <c r="H315" i="2"/>
  <c r="H316" i="2"/>
  <c r="G1139" i="2"/>
  <c r="H1140" i="2"/>
  <c r="H1756" i="2"/>
  <c r="G472" i="2"/>
  <c r="H472" i="2" s="1"/>
  <c r="H473" i="2"/>
  <c r="G18" i="2"/>
  <c r="H19" i="2"/>
  <c r="G16" i="2"/>
  <c r="H16" i="2" s="1"/>
  <c r="G1961" i="2"/>
  <c r="H1962" i="2"/>
  <c r="H941" i="2"/>
  <c r="G2302" i="2"/>
  <c r="H2302" i="2" s="1"/>
  <c r="H2303" i="2"/>
  <c r="G1741" i="2"/>
  <c r="H1741" i="2" s="1"/>
  <c r="H1742" i="2"/>
  <c r="H610" i="2"/>
  <c r="G609" i="2"/>
  <c r="H609" i="2" s="1"/>
  <c r="G1438" i="2"/>
  <c r="H1438" i="2" s="1"/>
  <c r="H1439" i="2"/>
  <c r="G254" i="2"/>
  <c r="H255" i="2"/>
  <c r="G1921" i="2"/>
  <c r="H1921" i="2" s="1"/>
  <c r="H1922" i="2"/>
  <c r="H1307" i="2"/>
  <c r="H1306" i="2"/>
  <c r="H426" i="2"/>
  <c r="G1947" i="2"/>
  <c r="H1947" i="2" s="1"/>
  <c r="H1948" i="2"/>
  <c r="H1570" i="2"/>
  <c r="G1932" i="2"/>
  <c r="H1933" i="2"/>
  <c r="H1819" i="2"/>
  <c r="G1818" i="2"/>
  <c r="H1818" i="2" s="1"/>
  <c r="G199" i="2"/>
  <c r="H210" i="2"/>
  <c r="G2131" i="2"/>
  <c r="H2131" i="2" s="1"/>
  <c r="H2138" i="2"/>
  <c r="G2210" i="2"/>
  <c r="H2211" i="2"/>
  <c r="G1576" i="2"/>
  <c r="H1576" i="2" s="1"/>
  <c r="H1577" i="2"/>
  <c r="G1912" i="2"/>
  <c r="H1912" i="2" s="1"/>
  <c r="H1913" i="2"/>
  <c r="G1453" i="2"/>
  <c r="H1453" i="2" s="1"/>
  <c r="H1454" i="2"/>
  <c r="G1415" i="2"/>
  <c r="H1415" i="2" s="1"/>
  <c r="H1428" i="2"/>
  <c r="G163" i="2"/>
  <c r="H164" i="2"/>
  <c r="G1585" i="2"/>
  <c r="H1586" i="2"/>
  <c r="G79" i="2"/>
  <c r="H79" i="2" s="1"/>
  <c r="H80" i="2"/>
  <c r="G747" i="2"/>
  <c r="H747" i="2" s="1"/>
  <c r="H748" i="2"/>
  <c r="G740" i="2"/>
  <c r="H741" i="2"/>
  <c r="H712" i="2"/>
  <c r="H493" i="2" l="1"/>
  <c r="K940" i="2"/>
  <c r="G939" i="2"/>
  <c r="K939" i="2" s="1"/>
  <c r="G739" i="2"/>
  <c r="K739" i="2" s="1"/>
  <c r="G1755" i="2"/>
  <c r="G1754" i="2" s="1"/>
  <c r="K806" i="2"/>
  <c r="G162" i="2"/>
  <c r="H162" i="2" s="1"/>
  <c r="H163" i="2"/>
  <c r="G424" i="2"/>
  <c r="H425" i="2"/>
  <c r="G1960" i="2"/>
  <c r="H1961" i="2"/>
  <c r="G2150" i="2"/>
  <c r="H2161" i="2"/>
  <c r="H1599" i="2"/>
  <c r="H293" i="2"/>
  <c r="G286" i="2"/>
  <c r="G897" i="2"/>
  <c r="H898" i="2"/>
  <c r="G385" i="2"/>
  <c r="H385" i="2" s="1"/>
  <c r="H386" i="2"/>
  <c r="G2328" i="2"/>
  <c r="H2329" i="2"/>
  <c r="G1584" i="2"/>
  <c r="H1584" i="2" s="1"/>
  <c r="H1585" i="2"/>
  <c r="G2209" i="2"/>
  <c r="H2209" i="2" s="1"/>
  <c r="H2210" i="2"/>
  <c r="G491" i="2"/>
  <c r="H492" i="2"/>
  <c r="G1681" i="2"/>
  <c r="H1709" i="2"/>
  <c r="G1990" i="2"/>
  <c r="H1990" i="2" s="1"/>
  <c r="H1991" i="2"/>
  <c r="G1989" i="2"/>
  <c r="H1989" i="2" s="1"/>
  <c r="G2257" i="2"/>
  <c r="H2258" i="2"/>
  <c r="G78" i="2"/>
  <c r="H90" i="2"/>
  <c r="G1489" i="2"/>
  <c r="H1505" i="2"/>
  <c r="H2221" i="2"/>
  <c r="G198" i="2"/>
  <c r="H199" i="2"/>
  <c r="H2002" i="2"/>
  <c r="G1165" i="2"/>
  <c r="H1166" i="2"/>
  <c r="G546" i="2"/>
  <c r="H547" i="2"/>
  <c r="H1122" i="2"/>
  <c r="H1932" i="2"/>
  <c r="G1931" i="2"/>
  <c r="H1931" i="2" s="1"/>
  <c r="G253" i="2"/>
  <c r="H254" i="2"/>
  <c r="G1569" i="2"/>
  <c r="H940" i="2"/>
  <c r="G17" i="2"/>
  <c r="H17" i="2" s="1"/>
  <c r="H18" i="2"/>
  <c r="G1138" i="2"/>
  <c r="H1138" i="2" s="1"/>
  <c r="H1139" i="2"/>
  <c r="G1550" i="2"/>
  <c r="H1550" i="2" s="1"/>
  <c r="H1551" i="2"/>
  <c r="H1252" i="2"/>
  <c r="G1251" i="2"/>
  <c r="H2089" i="2"/>
  <c r="G2088" i="2"/>
  <c r="G1155" i="2"/>
  <c r="H1156" i="2"/>
  <c r="H740" i="2"/>
  <c r="H688" i="2"/>
  <c r="G593" i="2"/>
  <c r="K593" i="2" s="1"/>
  <c r="H897" i="2" l="1"/>
  <c r="K897" i="2"/>
  <c r="H2257" i="2"/>
  <c r="H1755" i="2"/>
  <c r="H806" i="2"/>
  <c r="G805" i="2"/>
  <c r="K805" i="2" s="1"/>
  <c r="G2208" i="2"/>
  <c r="H2208" i="2" s="1"/>
  <c r="G1583" i="2"/>
  <c r="H1583" i="2" s="1"/>
  <c r="G1114" i="2"/>
  <c r="G1250" i="2"/>
  <c r="H1251" i="2"/>
  <c r="G252" i="2"/>
  <c r="H252" i="2" s="1"/>
  <c r="H253" i="2"/>
  <c r="G1164" i="2"/>
  <c r="H1165" i="2"/>
  <c r="G2087" i="2"/>
  <c r="H2087" i="2" s="1"/>
  <c r="H2088" i="2"/>
  <c r="G1568" i="2"/>
  <c r="H1568" i="2" s="1"/>
  <c r="H1569" i="2"/>
  <c r="G545" i="2"/>
  <c r="H545" i="2" s="1"/>
  <c r="H546" i="2"/>
  <c r="H2001" i="2"/>
  <c r="G55" i="2"/>
  <c r="H55" i="2" s="1"/>
  <c r="H78" i="2"/>
  <c r="G913" i="2"/>
  <c r="H939" i="2"/>
  <c r="G1481" i="2"/>
  <c r="H1489" i="2"/>
  <c r="H491" i="2"/>
  <c r="G2301" i="2"/>
  <c r="H2328" i="2"/>
  <c r="G1959" i="2"/>
  <c r="H1960" i="2"/>
  <c r="H198" i="2"/>
  <c r="G197" i="2"/>
  <c r="H197" i="2" s="1"/>
  <c r="H286" i="2"/>
  <c r="G1154" i="2"/>
  <c r="H1155" i="2"/>
  <c r="G1680" i="2"/>
  <c r="H1680" i="2" s="1"/>
  <c r="H1681" i="2"/>
  <c r="G1753" i="2"/>
  <c r="H1754" i="2"/>
  <c r="H2150" i="2"/>
  <c r="G423" i="2"/>
  <c r="H424" i="2"/>
  <c r="I739" i="2"/>
  <c r="H739" i="2"/>
  <c r="I593" i="2"/>
  <c r="H593" i="2"/>
  <c r="H805" i="2" l="1"/>
  <c r="H913" i="2"/>
  <c r="K913" i="2"/>
  <c r="H1114" i="2"/>
  <c r="K1114" i="2"/>
  <c r="H2301" i="2"/>
  <c r="K2301" i="2"/>
  <c r="H1753" i="2"/>
  <c r="K1753" i="2"/>
  <c r="H1154" i="2"/>
  <c r="K1154" i="2"/>
  <c r="H1959" i="2"/>
  <c r="K1959" i="2"/>
  <c r="G2149" i="2"/>
  <c r="K2149" i="2" s="1"/>
  <c r="H423" i="2"/>
  <c r="G277" i="2"/>
  <c r="G490" i="2"/>
  <c r="G738" i="2"/>
  <c r="G1480" i="2"/>
  <c r="H1480" i="2" s="1"/>
  <c r="H1481" i="2"/>
  <c r="G1988" i="2"/>
  <c r="K1988" i="2" s="1"/>
  <c r="H2000" i="2"/>
  <c r="H1164" i="2"/>
  <c r="G1249" i="2"/>
  <c r="H1249" i="2" s="1"/>
  <c r="H1250" i="2"/>
  <c r="I738" i="2" l="1"/>
  <c r="K738" i="2"/>
  <c r="H490" i="2"/>
  <c r="K490" i="2"/>
  <c r="H2149" i="2"/>
  <c r="H1988" i="2"/>
  <c r="H738" i="2"/>
  <c r="G1163" i="2"/>
  <c r="G15" i="2"/>
  <c r="K15" i="2" s="1"/>
  <c r="H277" i="2"/>
  <c r="H1163" i="2" l="1"/>
  <c r="K1163" i="2"/>
  <c r="G2352" i="2"/>
  <c r="G2359" i="2" s="1"/>
  <c r="H15" i="2"/>
</calcChain>
</file>

<file path=xl/sharedStrings.xml><?xml version="1.0" encoding="utf-8"?>
<sst xmlns="http://schemas.openxmlformats.org/spreadsheetml/2006/main" count="10405" uniqueCount="1160">
  <si>
    <t>630</t>
  </si>
  <si>
    <t>Центральный аппарат</t>
  </si>
  <si>
    <t>Резервные средства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</si>
  <si>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</si>
  <si>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</si>
  <si>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</si>
  <si>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Подпрограмма  "Дошкольное образование"</t>
  </si>
  <si>
    <t>310</t>
  </si>
  <si>
    <t>Расходы на выплаты персоналу государственных (муниципальных) органов</t>
  </si>
  <si>
    <t xml:space="preserve">Наименования </t>
  </si>
  <si>
    <t>ЦСР</t>
  </si>
  <si>
    <t>ВР</t>
  </si>
  <si>
    <t>810</t>
  </si>
  <si>
    <t>Иные бюджетные ассигнования</t>
  </si>
  <si>
    <t>800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</si>
  <si>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</si>
  <si>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</si>
  <si>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</si>
  <si>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</si>
  <si>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</si>
  <si>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600</t>
  </si>
  <si>
    <t>620</t>
  </si>
  <si>
    <t>Социальное обеспечение и иные выплаты населению</t>
  </si>
  <si>
    <t>300</t>
  </si>
  <si>
    <t xml:space="preserve">Субсидии бюджетным учреждениям </t>
  </si>
  <si>
    <t>610</t>
  </si>
  <si>
    <t>Субсидии некоммерческим организациям (за исключением государственных (муниципальных) учреждений)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</si>
  <si>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</si>
  <si>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</si>
  <si>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</si>
  <si>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</si>
  <si>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</si>
  <si>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</si>
  <si>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 xml:space="preserve">Бюджетные инвестиции </t>
  </si>
  <si>
    <t>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</si>
  <si>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</si>
  <si>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Публичные нормативные социальные выплаты гражданам</t>
  </si>
  <si>
    <t xml:space="preserve">В С Е Г О   Р А С Х О Д О В </t>
  </si>
  <si>
    <t>Обеспечение деятельности дворцов и домов культуры</t>
  </si>
  <si>
    <t>Комплектование книжных фондов</t>
  </si>
  <si>
    <t>Совершенствование и развитие библиотечного дела</t>
  </si>
  <si>
    <t xml:space="preserve">Мероприятия в сфере культуры </t>
  </si>
  <si>
    <t>Оказание финансовой поддержки социально-ориентированным некоммерческим организациям</t>
  </si>
  <si>
    <t>Глава муниципального образования</t>
  </si>
  <si>
    <t xml:space="preserve">Председатель Контрольно-счетной палаты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</si>
  <si>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</si>
  <si>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Организация и проведение мероприятий в сфере культуры</t>
  </si>
  <si>
    <t>Обеспечение деятельности МКУ "Многофункциональный центр предоставления государственных и муниципальных услуг"</t>
  </si>
  <si>
    <t>Организация безопасности детского и молодёжного отдыха</t>
  </si>
  <si>
    <t>Подпрограмма "Молодое поколение"</t>
  </si>
  <si>
    <t>Единовременное пособие при рождении ребёнка</t>
  </si>
  <si>
    <t>Бюджетные инвестиции</t>
  </si>
  <si>
    <t>Организация отдыха детей и молодежи</t>
  </si>
  <si>
    <t>Организация занятости детей и молодежи</t>
  </si>
  <si>
    <t xml:space="preserve">Другие непрограммные расходы  </t>
  </si>
  <si>
    <t>Субсидии некоммерческих организациям (за исключением государственных (муниципальных) учреждений)</t>
  </si>
  <si>
    <t>120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</si>
  <si>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</si>
  <si>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Премии и гранты</t>
  </si>
  <si>
    <t>350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</si>
  <si>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</si>
  <si>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</si>
  <si>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Начальник финансового управления</t>
  </si>
  <si>
    <t>Н.А.Гереш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</si>
  <si>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</si>
  <si>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</si>
  <si>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</si>
  <si>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</si>
  <si>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</si>
  <si>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</si>
  <si>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</si>
  <si>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</si>
  <si>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</si>
  <si>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</si>
  <si>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</si>
  <si>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</si>
  <si>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Подпрограмма "Развитие архивного дела"</t>
  </si>
  <si>
    <t>111</t>
  </si>
  <si>
    <t>112</t>
  </si>
  <si>
    <t>Иные выплаты персоналу казенных учреждений, за исключением фонда оплаты труда</t>
  </si>
  <si>
    <t>870</t>
  </si>
  <si>
    <t>Содержание кладбищ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</si>
  <si>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</si>
  <si>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Прочие мероприятия в области образования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</si>
  <si>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</si>
  <si>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</si>
  <si>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</si>
  <si>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дошкольных образовательных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</si>
  <si>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</si>
  <si>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</si>
  <si>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</si>
  <si>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</si>
  <si>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выплаты персоналу государственных (муниципальных) органов за исключением фонда оплаты труда</t>
  </si>
  <si>
    <t>Обеспечение деятельности объектов культурного наследия</t>
  </si>
  <si>
    <t>Подпрограмма  "Общее образование"</t>
  </si>
  <si>
    <t>Мероприятия в области общего образования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</si>
  <si>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</si>
  <si>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 xml:space="preserve">Обеспечение учащихся питанием </t>
  </si>
  <si>
    <t>Прочие мероприятия в области общего образования</t>
  </si>
  <si>
    <t xml:space="preserve">Обеспечение деятельности школ-детских садов, школ начальных, неполных средних и средних     </t>
  </si>
  <si>
    <t>Подпрограмма "Дополнительное образование, воспитание и социализация детей в сфере образования"</t>
  </si>
  <si>
    <t>Мероприятия в области дополнительного образования</t>
  </si>
  <si>
    <t>Прочие мероприятия в области дополнительного образования</t>
  </si>
  <si>
    <t>Обеспечение деятельности учреждений по внешкольной работе с детьми, подведомственных Управлению образования</t>
  </si>
  <si>
    <t>Подпрограмма "Обеспечение реализации программы"</t>
  </si>
  <si>
    <t>Мероприятия в области образования</t>
  </si>
  <si>
    <t>Иные пенсии, социальные доплаты к пенсиям</t>
  </si>
  <si>
    <t>Оказание материальной помощи отдельным категориям граждан на возмещение расходов по зубопротезированию</t>
  </si>
  <si>
    <t>Социальные выплаты гражданам, кроме публичных нормативных социальных выплат</t>
  </si>
  <si>
    <t>313</t>
  </si>
  <si>
    <t>Размещение информации о деятельности органов местного самоуправления в СМИ</t>
  </si>
  <si>
    <t>Социальная реклама</t>
  </si>
  <si>
    <t>Обеспечение деятельности  МКУ "ЕДДС"</t>
  </si>
  <si>
    <t>Бюджетные инвестиции на приобретение объектов недвижимого имущества в государственную (муниципальную) собственность</t>
  </si>
  <si>
    <t>Ремонт и развитие материально-технической базы в муниципальных спортивно-оздоровительных учреждениях</t>
  </si>
  <si>
    <t>Субсидии автономным учреждениям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</si>
  <si>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</si>
  <si>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преступлений и иных правонарушений"</t>
  </si>
  <si>
    <t>Содержание автомобильных дорог общего пользования</t>
  </si>
  <si>
    <t>Содержание внутриквартальных дорог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</si>
  <si>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</si>
  <si>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Пособия, компенсации, меры социальной поддержки по публичным нормативным обязательствам</t>
  </si>
  <si>
    <t>Использование и сохранение объектов культурного наследия</t>
  </si>
  <si>
    <t>Мероприятия по развитию информационно-коммуникационных технологий</t>
  </si>
  <si>
    <t>Бюджетные инвестиции в строительство общеобразовательных учреждений муниципальной собственности</t>
  </si>
  <si>
    <t>Мероприятия по предупреждению чрезвычайных ситуаций</t>
  </si>
  <si>
    <t>320</t>
  </si>
  <si>
    <t>321</t>
  </si>
  <si>
    <t xml:space="preserve">Осуществление государственных полномочий в соответствии с Законом МО №107/2014-ОЗ </t>
  </si>
  <si>
    <t>410</t>
  </si>
  <si>
    <t>Социальная поддержка беременных женщин, кормящих матерей, детей в  возрасте до трех лет</t>
  </si>
  <si>
    <t>Подпрограмма "Содействие развитию предпринимательства и привлечению инвестиций"</t>
  </si>
  <si>
    <t>Нормативно-правовое и организационное обеспечение развития малого и среднего предпринимательства</t>
  </si>
  <si>
    <t>Обеспечение деятельности МКУ "Красногорский центр торгов"</t>
  </si>
  <si>
    <t>10 2 00 00000</t>
  </si>
  <si>
    <t>Транспортировка умерших в морг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</si>
  <si>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</si>
  <si>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</si>
  <si>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"Совершенствование профессионального развития сотрудников"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</si>
  <si>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</si>
  <si>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</si>
  <si>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11 0 00 00000</t>
  </si>
  <si>
    <t>11 0 01 00000</t>
  </si>
  <si>
    <t>11 0 02 00000</t>
  </si>
  <si>
    <t>11 0 02 00020</t>
  </si>
  <si>
    <t>11 0 02 00030</t>
  </si>
  <si>
    <t>11 0 02 00040</t>
  </si>
  <si>
    <t>11 0 03 00000</t>
  </si>
  <si>
    <t>11 0 03 00010</t>
  </si>
  <si>
    <t>Мероприятия по обеспечению безопасности дорожного движения</t>
  </si>
  <si>
    <t>11 0 03 00020</t>
  </si>
  <si>
    <t>Организация транспортного обслуживания по маршрутам регулярных перевозок</t>
  </si>
  <si>
    <t>11 0 01 00030</t>
  </si>
  <si>
    <t>Обновление парка "школьных" автобусов</t>
  </si>
  <si>
    <t>11 0 01 00040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</si>
  <si>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</si>
  <si>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10 0 00 00000</t>
  </si>
  <si>
    <t>95 0 00 00000</t>
  </si>
  <si>
    <t>95 0 00 04000</t>
  </si>
  <si>
    <t>95 0 00 05000</t>
  </si>
  <si>
    <t>95 0 00 10000</t>
  </si>
  <si>
    <t>99 0 00 00000</t>
  </si>
  <si>
    <t>99 0 00 20000</t>
  </si>
  <si>
    <t>08 0 00 00000</t>
  </si>
  <si>
    <t>08 0 01 00000</t>
  </si>
  <si>
    <t>08 0 01 00010</t>
  </si>
  <si>
    <t>08 0 02 00000</t>
  </si>
  <si>
    <t>08 0 02 00020</t>
  </si>
  <si>
    <t>08 0 02 00030</t>
  </si>
  <si>
    <t>13 0 00 00000</t>
  </si>
  <si>
    <t>10 3 00 00000</t>
  </si>
  <si>
    <t>Основное мероприятие "Внедрение и использование информационно-коммуникационных технологий"</t>
  </si>
  <si>
    <t>14 0 00 00000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</si>
  <si>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</si>
  <si>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</si>
  <si>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>14 4 00 00000</t>
  </si>
  <si>
    <t>99 0 00 01000</t>
  </si>
  <si>
    <t xml:space="preserve">Финансово - имущественная поддержка субъектов малого и среднего предпринимательства </t>
  </si>
  <si>
    <t>04 0 00 00000</t>
  </si>
  <si>
    <t>02 0 00 00000</t>
  </si>
  <si>
    <t>06 0 00 00000</t>
  </si>
  <si>
    <t>06 1 00 00000</t>
  </si>
  <si>
    <t>06 2 00 00000</t>
  </si>
  <si>
    <t>06 2 01 00000</t>
  </si>
  <si>
    <t>06 1 01 00010</t>
  </si>
  <si>
    <t>Основное мероприятие "Поддержка молодёжных творческих инициатив "</t>
  </si>
  <si>
    <t>Мероприятия по поддержке молодёжных творческих инициатив</t>
  </si>
  <si>
    <t>06 2 01 00010</t>
  </si>
  <si>
    <t>06 2 01 00040</t>
  </si>
  <si>
    <t>Основное мероприятие "Организация свободного времени детей и молодёжи через различные формы отдыха и занятости"</t>
  </si>
  <si>
    <t>06 2 01 00020</t>
  </si>
  <si>
    <t>Основное мероприятие "Организация досуга и предоставление услуг в сфере культуры"</t>
  </si>
  <si>
    <t>02 0 01 01000</t>
  </si>
  <si>
    <t>02 0 01 01010</t>
  </si>
  <si>
    <t>02 0 01 01020</t>
  </si>
  <si>
    <t>02 0 01 01590</t>
  </si>
  <si>
    <t>02 0 01 02000</t>
  </si>
  <si>
    <t>02 0 01 02590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</si>
  <si>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</si>
  <si>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</si>
  <si>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>02 0 01 00000</t>
  </si>
  <si>
    <t>Создание условий для обеспечения населения услугами культуры и организация досуга</t>
  </si>
  <si>
    <t>Развитие библиотечного дела</t>
  </si>
  <si>
    <t>02 0 02 03000</t>
  </si>
  <si>
    <t>02 0 02 03010</t>
  </si>
  <si>
    <t>02 0 02 05000</t>
  </si>
  <si>
    <t>02 0 02 05010</t>
  </si>
  <si>
    <t>02 0 02 05890</t>
  </si>
  <si>
    <t>06 1 01 00000</t>
  </si>
  <si>
    <t>15 0 00 00000</t>
  </si>
  <si>
    <t>15 0 01 00000</t>
  </si>
  <si>
    <t>15 0 01 00010</t>
  </si>
  <si>
    <t>15 0 02 00000</t>
  </si>
  <si>
    <t>06 1 02 00000</t>
  </si>
  <si>
    <t>01 0 00 00000</t>
  </si>
  <si>
    <t>01 1 00 00000</t>
  </si>
  <si>
    <t>01 1 01 00000</t>
  </si>
  <si>
    <t>01 1 01 21020</t>
  </si>
  <si>
    <t>01 1 02 00000</t>
  </si>
  <si>
    <t>01 1 02 62110</t>
  </si>
  <si>
    <t>01 1 02 62120</t>
  </si>
  <si>
    <t>01 1 02 71590</t>
  </si>
  <si>
    <t>01 1 02 62140</t>
  </si>
  <si>
    <t>Фонд оплаты труда казенных учреждений</t>
  </si>
  <si>
    <t>Фонд оплаты труда государственных (муниципальных) органов</t>
  </si>
  <si>
    <t>01 2 01 00000</t>
  </si>
  <si>
    <t>01 2 01 21000</t>
  </si>
  <si>
    <t>01 2 01 21010</t>
  </si>
  <si>
    <t>01 2 01 21020</t>
  </si>
  <si>
    <t>01 2 01 21110</t>
  </si>
  <si>
    <t>01 2 01 62220</t>
  </si>
  <si>
    <t>01 2 02 00000</t>
  </si>
  <si>
    <t>01 2 02 21000</t>
  </si>
  <si>
    <t>01 3 00 00000</t>
  </si>
  <si>
    <t>01 3 01 00000</t>
  </si>
  <si>
    <t>01 3 01 21000</t>
  </si>
  <si>
    <t>01 3 01 21110</t>
  </si>
  <si>
    <t xml:space="preserve">Фонд оплаты труда казенных учреждений 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</si>
  <si>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</si>
  <si>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</si>
  <si>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</si>
  <si>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</si>
  <si>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Обеспечение деятельности учреждений по внешкольной работе с детьми в области культуры</t>
  </si>
  <si>
    <t>01 3 02 00000</t>
  </si>
  <si>
    <t xml:space="preserve">Фонд оплаты труда государственных (муниципальных) органов </t>
  </si>
  <si>
    <t>01 3 02 21000</t>
  </si>
  <si>
    <t>01 3 02 21110</t>
  </si>
  <si>
    <t>01 4 00 00000</t>
  </si>
  <si>
    <t>01 4 01 04000</t>
  </si>
  <si>
    <t>01 4 01 75590</t>
  </si>
  <si>
    <t>01 2 00 00000</t>
  </si>
  <si>
    <t>Основное мероприятие "Социальная поддержка беременных женщин, кормящих матерей, детей в возрасте до трех лет"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</si>
  <si>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</si>
  <si>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</si>
  <si>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</si>
  <si>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05 0 01 00010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</si>
  <si>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</si>
  <si>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</si>
  <si>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05 0 02 00010</t>
  </si>
  <si>
    <t>05 0 02 00590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</si>
  <si>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</si>
  <si>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</si>
  <si>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</si>
  <si>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</si>
  <si>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</si>
  <si>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</si>
  <si>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</si>
  <si>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</si>
  <si>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07 0 00 00000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</si>
  <si>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</si>
  <si>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</si>
  <si>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</si>
  <si>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</si>
  <si>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</si>
  <si>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</si>
  <si>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</si>
  <si>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</si>
  <si>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</si>
  <si>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</si>
  <si>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</si>
  <si>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</si>
  <si>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07 2 00 00000</t>
  </si>
  <si>
    <t>07 2 01 00000</t>
  </si>
  <si>
    <t>07 2 01 00010</t>
  </si>
  <si>
    <t>07 2 01 00020</t>
  </si>
  <si>
    <t>07 2 02 00000</t>
  </si>
  <si>
    <t>07 2 03 00000</t>
  </si>
  <si>
    <t>01 4 01 00000</t>
  </si>
  <si>
    <t>Разработка проектов организации дорожного движения на дорогах общего пользования</t>
  </si>
  <si>
    <t>Выплата компенсации родителям в связи со снятием с очереди в дошкольные образовательные учреждения</t>
  </si>
  <si>
    <t>Обеспечение деятельности учреждений в области физической культуры и спорта</t>
  </si>
  <si>
    <t>Основное мероприятие "Гражданско-патриотическое и духовно-нравственное воспитание детей и молодёжи "</t>
  </si>
  <si>
    <t>Основное мероприятие "Профилактика терроризма и экстремизма"</t>
  </si>
  <si>
    <t>01 1 03 00000</t>
  </si>
  <si>
    <t>Ремонт внутриквартальных дорог</t>
  </si>
  <si>
    <t>11 0 02 00060</t>
  </si>
  <si>
    <t>Обеспечение деятельности МКУ "Красногорская похоронная служба"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</si>
  <si>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</si>
  <si>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07 2 02 00010</t>
  </si>
  <si>
    <t xml:space="preserve"> 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</si>
  <si>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</si>
  <si>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123</t>
  </si>
  <si>
    <t>Представительские расходы</t>
  </si>
  <si>
    <t>95 0 00 02000</t>
  </si>
  <si>
    <t>Обеспечение безопасности людей на водных объектах</t>
  </si>
  <si>
    <t xml:space="preserve">Пособия, компенсации и иные социальные выплаты гражданам, кроме публичных нормативных обязательств </t>
  </si>
  <si>
    <t>Компенсация части арендной платы за наем жилых помещений педагогическим работникам</t>
  </si>
  <si>
    <t>853</t>
  </si>
  <si>
    <t>Уплата иных платежей</t>
  </si>
  <si>
    <t>Погребение по гарантированному перечню услуг</t>
  </si>
  <si>
    <t>Основное мероприятие "Оказание материальной помощи гражданам"</t>
  </si>
  <si>
    <t>04 1 00 00000</t>
  </si>
  <si>
    <t>04 1 01 00000</t>
  </si>
  <si>
    <t>04 1 01 00010</t>
  </si>
  <si>
    <t>04 1 01 00020</t>
  </si>
  <si>
    <t>04 1 02 00000</t>
  </si>
  <si>
    <t>Основное мероприятие "Предоставление мер социальной поддержки"</t>
  </si>
  <si>
    <t>04 1 02 00010</t>
  </si>
  <si>
    <t>04 1 02 00020</t>
  </si>
  <si>
    <t>04 1 02 00030</t>
  </si>
  <si>
    <t>04 1 02 00040</t>
  </si>
  <si>
    <t>04 1 02 00050</t>
  </si>
  <si>
    <t>04 1 02 00060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</si>
  <si>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</si>
  <si>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</si>
  <si>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04 1 05 00000</t>
  </si>
  <si>
    <t>Основное мероприятие "Предоставление субсидий по оплате жилого помещения и коммунальных услуг"</t>
  </si>
  <si>
    <t>04 1 05 61410</t>
  </si>
  <si>
    <t>04 1 05 61420</t>
  </si>
  <si>
    <t>Подпрограмма "Доступная среда"</t>
  </si>
  <si>
    <t>04 2 01 00000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</si>
  <si>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</si>
  <si>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</si>
  <si>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04 2 01 00010</t>
  </si>
  <si>
    <t>04 3 00 00000</t>
  </si>
  <si>
    <t>04 1 04 00010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</si>
  <si>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</si>
  <si>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</si>
  <si>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Обеспечение деятельности учреждения по работе с молодёжью</t>
  </si>
  <si>
    <t>Мероприятия по увеличению числа специалистов занятых в сфере работы с молодёжью</t>
  </si>
  <si>
    <t>16 0 00 00000</t>
  </si>
  <si>
    <t>17 0 00 00000</t>
  </si>
  <si>
    <t>18 0 00 00000</t>
  </si>
  <si>
    <t>Обеспечение деятельности архивного отдела</t>
  </si>
  <si>
    <t>10 2 01 00000</t>
  </si>
  <si>
    <t>10 2 01 00010</t>
  </si>
  <si>
    <t>10 2 01 60690</t>
  </si>
  <si>
    <t>10 3 05 00000</t>
  </si>
  <si>
    <t>10 3 05 00590</t>
  </si>
  <si>
    <t>Подпрограмма "Муниципальное управление"</t>
  </si>
  <si>
    <t>10 4 00 00000</t>
  </si>
  <si>
    <t>10 4 04 00000</t>
  </si>
  <si>
    <t>10 4 03 00000</t>
  </si>
  <si>
    <t>10 4 03 00010</t>
  </si>
  <si>
    <t>Организация работы по повышению квалификации кадров</t>
  </si>
  <si>
    <t>10 4 03 00020</t>
  </si>
  <si>
    <t>10 4 04 00010</t>
  </si>
  <si>
    <t>10 4 06 00000</t>
  </si>
  <si>
    <t>10 4 06 01000</t>
  </si>
  <si>
    <t>10 4 06 04000</t>
  </si>
  <si>
    <t>10 4 06 60700</t>
  </si>
  <si>
    <t>Развитие социального партнерства</t>
  </si>
  <si>
    <t>Основное мероприятие "Обеспечение деятельности органов местного самоуправления"</t>
  </si>
  <si>
    <t>06 1 02 00020</t>
  </si>
  <si>
    <t>06 1 02 00030</t>
  </si>
  <si>
    <t>06 1 02 01590</t>
  </si>
  <si>
    <t>Подпрограмма "Содействие развитию здравоохранения"</t>
  </si>
  <si>
    <t>Закупка товаров, работ и услуг в сфере информационно-коммуникационных технологий</t>
  </si>
  <si>
    <t>242</t>
  </si>
  <si>
    <t>04 3 02 00000</t>
  </si>
  <si>
    <t>04 3 03 00000</t>
  </si>
  <si>
    <t>04 3 03 62080</t>
  </si>
  <si>
    <t>04 3 02 00010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</si>
  <si>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</si>
  <si>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</si>
  <si>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</si>
  <si>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08 0 02 00010</t>
  </si>
  <si>
    <t>Информационно-консультационная поддержка субъектов малого и среднего предпринимательства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</si>
  <si>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</si>
  <si>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</si>
  <si>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</si>
  <si>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</si>
  <si>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>Подпрограмма "Снижение рисков и смягчение последствий чрезвычайных ситуаций природного и техногенного характера "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</si>
  <si>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</si>
  <si>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Основное мероприятие "Создание комфортного и безопасного отдыха людей в местах массового отдыха на водных объектах"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</si>
  <si>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</si>
  <si>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</si>
  <si>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</si>
  <si>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07 2 03 00590</t>
  </si>
  <si>
    <t>Закупка товаров, работ, услуг в сфере информационно-коммуникационных технологий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</si>
  <si>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</si>
  <si>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</si>
  <si>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</si>
  <si>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</si>
  <si>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</si>
  <si>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</si>
  <si>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</si>
  <si>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</si>
  <si>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</si>
  <si>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</si>
  <si>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</si>
  <si>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</si>
  <si>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</si>
  <si>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</si>
  <si>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</si>
  <si>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</si>
  <si>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</si>
  <si>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</si>
  <si>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</si>
  <si>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</si>
  <si>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</si>
  <si>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05 0 01 00040</t>
  </si>
  <si>
    <t>Проведение массовых мероприятий в области физической культуры и спорта</t>
  </si>
  <si>
    <t>Основное мероприятие "Подготовка спортивного резерва"</t>
  </si>
  <si>
    <t>05 0 06 00000</t>
  </si>
  <si>
    <t>05 0 06 00010</t>
  </si>
  <si>
    <t>05 0 06 00020</t>
  </si>
  <si>
    <t>Основное мероприятие "Обеспечение деятельности по развитию культуры"</t>
  </si>
  <si>
    <t>02 0 03 00000</t>
  </si>
  <si>
    <t>02 0 03 04000</t>
  </si>
  <si>
    <t>17 2 00 00000</t>
  </si>
  <si>
    <t>17 2 01 00000</t>
  </si>
  <si>
    <t>17 2 01 00010</t>
  </si>
  <si>
    <t>17 1 00 00000</t>
  </si>
  <si>
    <t>17 1 02 00000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</si>
  <si>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</si>
  <si>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</si>
  <si>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</si>
  <si>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</si>
  <si>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</si>
  <si>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</si>
  <si>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</si>
  <si>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Закупка товаров, работ и услуг для обеспечения государственных (муниципальных) нужд</t>
  </si>
  <si>
    <t>Подпрограмма "Социальная поддержка "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</si>
  <si>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</si>
  <si>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</si>
  <si>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Мероприятия по гражданско-патриотическому и духовно-нравственному воспитанию детей и молодёжи</t>
  </si>
  <si>
    <t xml:space="preserve">Выплата пенсии за выслугу лет </t>
  </si>
  <si>
    <t>16 0 02 00000</t>
  </si>
  <si>
    <t>16 0 02 00010</t>
  </si>
  <si>
    <t>16 0 02 00020</t>
  </si>
  <si>
    <t>16 0 02 00040</t>
  </si>
  <si>
    <t>16 0 02 00590</t>
  </si>
  <si>
    <t>Подписка, доставка и распространение тиражей печатных изданий</t>
  </si>
  <si>
    <t>15 0 01 00020</t>
  </si>
  <si>
    <t>Аппарат управления образования</t>
  </si>
  <si>
    <t>Реконструкция стадиона "Машиностроитель"</t>
  </si>
  <si>
    <t>360</t>
  </si>
  <si>
    <t>Иные выплаты населению</t>
  </si>
  <si>
    <t>Муниципальные стипендии для учащихся дополнительного образования детей в области культуры</t>
  </si>
  <si>
    <t>01 3 01 77020</t>
  </si>
  <si>
    <t>243</t>
  </si>
  <si>
    <t>99 0 00 01010</t>
  </si>
  <si>
    <t xml:space="preserve">11 0 02 00070 </t>
  </si>
  <si>
    <t>Другие мероприятия в области государственного и муниципального управления</t>
  </si>
  <si>
    <t>Оплата судебных исков</t>
  </si>
  <si>
    <t xml:space="preserve">Исполнение судебных актов </t>
  </si>
  <si>
    <t>830</t>
  </si>
  <si>
    <t>831</t>
  </si>
  <si>
    <t>15 0 01 01590</t>
  </si>
  <si>
    <t>Обеспечение деятельности телевидения</t>
  </si>
  <si>
    <t>14 4 01 60820</t>
  </si>
  <si>
    <t>Архитектурно-художественное освещение</t>
  </si>
  <si>
    <t>99 0 00 01050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</si>
  <si>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</si>
  <si>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</si>
  <si>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</si>
  <si>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Обеспечение деятельности МКУ "ЕСЗ ГО Красногорск"</t>
  </si>
  <si>
    <t>01 2 01 00590</t>
  </si>
  <si>
    <t>Организация сбора и вывоза строительного мусора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</si>
  <si>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</si>
  <si>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</si>
  <si>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632</t>
  </si>
  <si>
    <t>811</t>
  </si>
  <si>
    <t>2020 год</t>
  </si>
  <si>
    <t>02 0 01 01040</t>
  </si>
  <si>
    <t>Повышение квалификации работников библиотек</t>
  </si>
  <si>
    <t>Повышение квалификации работников дворцов и домов культуры</t>
  </si>
  <si>
    <t>02 0 01 02040</t>
  </si>
  <si>
    <t>02 0 01 02030</t>
  </si>
  <si>
    <t>99 0 00 03000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</si>
  <si>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</si>
  <si>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02 0 01 02010</t>
  </si>
  <si>
    <t>02 0 01 02050</t>
  </si>
  <si>
    <t>Основное мероприятие "Развитие парковых территорий, парков культуры и отдыха"</t>
  </si>
  <si>
    <t>02 0 04 00000</t>
  </si>
  <si>
    <t>Обеспечение деятельности парковых территорий, парков культуры и отдыха</t>
  </si>
  <si>
    <t>Аренда помещения и переменная плата за коммунальные услуги для МБУ "Центр культуры и досуга"</t>
  </si>
  <si>
    <t>02 0 04 06050</t>
  </si>
  <si>
    <t>Организация и проведение культурно-досуговых мероприятий в сфере культуры</t>
  </si>
  <si>
    <t>Реконструкция площади МАУК "Красногорский культурно-досуговый комплекс "Подмосковье"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</si>
  <si>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</si>
  <si>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</si>
  <si>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Капитальные вложения в объекты государственной (муниципальной) собственности</t>
  </si>
  <si>
    <t>412</t>
  </si>
  <si>
    <t>Выкуп помещения для детского технопарка "Кванториум"</t>
  </si>
  <si>
    <t>Модернизация и укрепление материально-технической базы МАУК "Знаменское-Губайлово"</t>
  </si>
  <si>
    <t>02 0 02 05020</t>
  </si>
  <si>
    <t>02 0 02 05050</t>
  </si>
  <si>
    <t>Популяризация объектов культурного наследия и музейных ценностей</t>
  </si>
  <si>
    <t>02 0 04 06000</t>
  </si>
  <si>
    <t>Создание условий для развития парковых территорий</t>
  </si>
  <si>
    <t>Закупка товаров, работ, услуг в целях капитального ремонта государственного (муниципального) имущества</t>
  </si>
  <si>
    <t>Капитальный ремонт общего имущества многоквартирных домов</t>
  </si>
  <si>
    <t>Реконструкция, модернизация и ремонт спортивных плоскостных сооружений</t>
  </si>
  <si>
    <t>05 0 01 00120</t>
  </si>
  <si>
    <t>Приобретение оборудования для муниципальных спортивно-оздоровительных учреждений</t>
  </si>
  <si>
    <t>05 0 01 00130</t>
  </si>
  <si>
    <t>02 0 04 06590</t>
  </si>
  <si>
    <t>04 1 02 00070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</si>
  <si>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</si>
  <si>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</si>
  <si>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</si>
  <si>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</si>
  <si>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Текущее содержание объектов благоустройства</t>
  </si>
  <si>
    <t>Основное мероприятие "Развитие пассажирского транспорта общего пользования"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</si>
  <si>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</si>
  <si>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Устройство парковок общего пользования</t>
  </si>
  <si>
    <t>Проектирование, строительство и реконструкция дорог общего пользования</t>
  </si>
  <si>
    <t>11 0 02 00080</t>
  </si>
  <si>
    <t>Обеспечение деятельности (оказание услуг) МБУ "КГС" в области дорожного хозяйства</t>
  </si>
  <si>
    <t>11 0 02 00110</t>
  </si>
  <si>
    <t>11 0 02 00130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</si>
  <si>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</si>
  <si>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Основное мероприятие "Развитие похоронного дела в городском округе"</t>
  </si>
  <si>
    <t>Выполнение работ по текущему ремонту автомобильных дорог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</si>
  <si>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</si>
  <si>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</si>
  <si>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Обеспечение проведения выборов и референдумов на территории городского округа Красногорск</t>
  </si>
  <si>
    <t>Центральный аппарат избирательной комиссии</t>
  </si>
  <si>
    <t>ПИР и строительство пристройки к МБОУ СОШ №15 на 300 мест по адресу: Московская область, городской округ Красногорск, г. Красногорск, ул. Успенская, д.20</t>
  </si>
  <si>
    <t>10 4 06 00590</t>
  </si>
  <si>
    <t>10 4 07 00000</t>
  </si>
  <si>
    <t>10 4 07 04000</t>
  </si>
  <si>
    <t>10 4 06 14000</t>
  </si>
  <si>
    <t>Расходы на содержание прилегающей территории к зданиям администрации</t>
  </si>
  <si>
    <t>10 4 06 24000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</si>
  <si>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</si>
  <si>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</si>
  <si>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д.б.</t>
  </si>
  <si>
    <t>01 2 01 00592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</si>
  <si>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</si>
  <si>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</si>
  <si>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Основное мероприятие "Информирование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о общественно-политической жизни"</t>
  </si>
  <si>
    <t>Расходы на содержание помещений администрации</t>
  </si>
  <si>
    <t>ПИР и строительство многофункционального здания МБОУ «Образовательный центр «Созвездие»» по адресу:  Московская область, городской округ Красногорск, г. Красногорск, ул. Большая Комсомольская, д.13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</si>
  <si>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</si>
  <si>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</si>
  <si>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Прочая закупка товаров, работ и услуг</t>
  </si>
  <si>
    <t xml:space="preserve">Прочая закупка товаров, работ и услуг </t>
  </si>
  <si>
    <t>Осуществление государственных полномочий в области земельных отношений</t>
  </si>
  <si>
    <t>10 4 06 60830</t>
  </si>
  <si>
    <t>10 4 06 01590</t>
  </si>
  <si>
    <t>15 0 02 00010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</si>
  <si>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</si>
  <si>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</si>
  <si>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Основное мероприятие "Улучшение условий труда"</t>
  </si>
  <si>
    <t>10 3 08 00000</t>
  </si>
  <si>
    <t>10 3 08 00100</t>
  </si>
  <si>
    <t>01 2 01 60680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</si>
  <si>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 центрах предоставления государственных и муниципальных услуг"</t>
  </si>
  <si>
    <t>17 1 03 0000</t>
  </si>
  <si>
    <t>03 0 00 00000</t>
  </si>
  <si>
    <t>Подпрограмма "Чистая вода "</t>
  </si>
  <si>
    <t>03 1 00 00000</t>
  </si>
  <si>
    <t>03 1 01 00000</t>
  </si>
  <si>
    <t>Подпрограмма "Очистка сточных вод"</t>
  </si>
  <si>
    <t>03 2 00 00000</t>
  </si>
  <si>
    <t>03 2 01 00000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</si>
  <si>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очистки сточных вод"</t>
  </si>
  <si>
    <t>Подпрограмма "Создание условий для обеспечения качественными жилищно-коммунальными услугами"</t>
  </si>
  <si>
    <t>03 3 00 00000</t>
  </si>
  <si>
    <t>03 3 01 00000</t>
  </si>
  <si>
    <t>Основное мероприятие " Модернизация и развитие системы коммунальной инфраструктуры"</t>
  </si>
  <si>
    <t>Прием поверхностных сточных вод</t>
  </si>
  <si>
    <t>03 3 01 00030</t>
  </si>
  <si>
    <t>Организация проезда обучающихся муниципальных общеобразовательных организации</t>
  </si>
  <si>
    <t>03 4 00 00000</t>
  </si>
  <si>
    <t>03 4 01 00000</t>
  </si>
  <si>
    <t>03 4 01 00010</t>
  </si>
  <si>
    <t>Приобретение установка, замена (модернизация) энергосберегающих светильников и энергосберегающих ламп</t>
  </si>
  <si>
    <t>03 4 01 00020</t>
  </si>
  <si>
    <t>Установка АУУ системами теплоснабжения и ИТП</t>
  </si>
  <si>
    <t>03 4 01 00030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</si>
  <si>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</si>
  <si>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19 0 00 00000</t>
  </si>
  <si>
    <t>Основное мероприятие "Создание благоприятных условий для проживания граждан"</t>
  </si>
  <si>
    <t>Основное мероприятие "Благоустройство общественных территорий"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</si>
  <si>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</si>
  <si>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Основное мероприятие "Благоустройство дворовых территорий"</t>
  </si>
  <si>
    <t>Основное мероприятие "Формирование комфортной городской световой среды"</t>
  </si>
  <si>
    <t>Отлов безнадзорных животных, за счет средств областного бюджета</t>
  </si>
  <si>
    <t>Проектирование подключения участков многодетных семей к инженерным сетям водоснабжения и водоотведения</t>
  </si>
  <si>
    <t>03 3 01 00130</t>
  </si>
  <si>
    <t>Резервный фонд администрации городского округа Красногорск</t>
  </si>
  <si>
    <t>Осуществление государственных полномочий в соответствии с законом Московской области №244/2017-ОЗ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</si>
  <si>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</si>
  <si>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</si>
  <si>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</si>
  <si>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</si>
  <si>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Основное мероприятие "Создание условий для благоустройства"</t>
  </si>
  <si>
    <t>Проведение судебно-правовых экспертиз</t>
  </si>
  <si>
    <t>Поддержка НКО осуществляющих деятельность в сфере физической культуры и спорта на территории округа</t>
  </si>
  <si>
    <t>05 0 02 00030</t>
  </si>
  <si>
    <t xml:space="preserve">Обустройство набережной Москвы-реки в мкр. Павшинская пойма </t>
  </si>
  <si>
    <t>Мероприятия по благоустройству общественных территорий</t>
  </si>
  <si>
    <t>Устройство объектов электросетевого хозяйства</t>
  </si>
  <si>
    <t>Замена, обслуживание и ремонт внутриквартирного газового оборудования</t>
  </si>
  <si>
    <t>Подпрограмма "Энергосбережение и повышение энергетической эффективности"</t>
  </si>
  <si>
    <t>Основное мероприятие " Создание условий для энергосбережения и повышения энергетической эффективности в бюджетной сфере"</t>
  </si>
  <si>
    <t>Субсидии на возмещение недополученных доходов и (или) возмещение фактически понесенных затрат</t>
  </si>
  <si>
    <t>Реализация мероприятий по обеспечению жильем молодых семей</t>
  </si>
  <si>
    <t xml:space="preserve">14 3 01 L4970 </t>
  </si>
  <si>
    <t>Приложение 2</t>
  </si>
  <si>
    <t>Модернизация, укрепление материально-технической базы и ремонт учреждений культуры</t>
  </si>
  <si>
    <t>18 0 02 00000</t>
  </si>
  <si>
    <t>11 0 02 00180</t>
  </si>
  <si>
    <t>03 3 01 00270</t>
  </si>
  <si>
    <t>Ремонт зданий, благоустройство территорий и укрепление материально-технической базы  муниципальных учреждений дополнительного образования детей в сфере образования</t>
  </si>
  <si>
    <t>Ремонт автомобильных дорог общего пользования местного значения</t>
  </si>
  <si>
    <t>11 0 02 00190</t>
  </si>
  <si>
    <t>02 0 02 03030</t>
  </si>
  <si>
    <t>Подготовка и издание нового номера историко-культурного альманаха "Красногорье"</t>
  </si>
  <si>
    <t>02 0 01 02060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</si>
  <si>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</si>
  <si>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</si>
  <si>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</si>
  <si>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18 0 03 00000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</si>
  <si>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</si>
  <si>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18 0 03 00010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</si>
  <si>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</si>
  <si>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13 0 01 00000</t>
  </si>
  <si>
    <t xml:space="preserve"> Оценка рыночной стоимости и права аренды объектов недвижимости         </t>
  </si>
  <si>
    <t>13 0 01 00100</t>
  </si>
  <si>
    <t>Содержание объектов муниципальной казны</t>
  </si>
  <si>
    <t>13 0 01 00300</t>
  </si>
  <si>
    <t>13 0 01 00310</t>
  </si>
  <si>
    <t>13 0 01 00320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</si>
  <si>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</si>
  <si>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</si>
  <si>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</si>
  <si>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Техническая инвентаризация объектов недвижимости</t>
  </si>
  <si>
    <t>13 0 01 00350</t>
  </si>
  <si>
    <t>Переоформление собственников имущества, находящегося в муниципальной собственности</t>
  </si>
  <si>
    <t>13 0 01 00380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</si>
  <si>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</si>
  <si>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</si>
  <si>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Формирование, постановка на государственный кадастровый учет земельных участков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</si>
  <si>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</si>
  <si>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13 0 03 00300</t>
  </si>
  <si>
    <t>13 0 03 00700</t>
  </si>
  <si>
    <t>10 4 06 02000</t>
  </si>
  <si>
    <t>10 4 06 07000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</si>
  <si>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</si>
  <si>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(гранты в форме субсидий),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</si>
  <si>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</si>
  <si>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02 0 02 03020</t>
  </si>
  <si>
    <t>Капитальные вложения в объекты недвижимого имущества муниципальной собственности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</si>
  <si>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</si>
  <si>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</si>
  <si>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</si>
  <si>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</si>
  <si>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</si>
  <si>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</si>
  <si>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</si>
  <si>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t>Основное мероприятие "Финансовое обеспечение деятельности образовательных организаций"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</si>
  <si>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</si>
  <si>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</si>
  <si>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</si>
  <si>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</si>
  <si>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</si>
  <si>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</si>
  <si>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</si>
  <si>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</si>
  <si>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</si>
  <si>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</si>
  <si>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01 2 04 40040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</si>
  <si>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</si>
  <si>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</si>
  <si>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</si>
  <si>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</si>
  <si>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01 2 05 21200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</si>
  <si>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</si>
  <si>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</si>
  <si>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01 3 02 21010</t>
  </si>
  <si>
    <t>01 3 02 21200</t>
  </si>
  <si>
    <t>01 3 02 21400</t>
  </si>
  <si>
    <t>01 3 02 73590</t>
  </si>
  <si>
    <t>01 3 02 77000</t>
  </si>
  <si>
    <t>01 3 02 77010</t>
  </si>
  <si>
    <t>01 3 02 77590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</si>
  <si>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</si>
  <si>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</si>
  <si>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</si>
  <si>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</si>
  <si>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t>01 3 03 21120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</si>
  <si>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</si>
  <si>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</si>
  <si>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</si>
  <si>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</si>
  <si>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</si>
  <si>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</si>
  <si>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t>10 4 06 02590</t>
  </si>
  <si>
    <t>Расходы на приобретение, оформление, оснащение и доукомплектование новых автотранспортных средств для нужд администрации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</si>
  <si>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</si>
  <si>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Проектирование, реконструкция водопроводных сетей в мкр.Опалиха</t>
  </si>
  <si>
    <t>03 1 01 00060</t>
  </si>
  <si>
    <t>03 2 01 00030</t>
  </si>
  <si>
    <t>03 2 01 00040</t>
  </si>
  <si>
    <t>Оформление энергопаспортов</t>
  </si>
  <si>
    <t>03 4 01 00040</t>
  </si>
  <si>
    <t>07 2 02 00030</t>
  </si>
  <si>
    <t>07 2 04 00000</t>
  </si>
  <si>
    <t>07 2 04 00010</t>
  </si>
  <si>
    <t>Обслуживание  системы "ГЛОНАСС"</t>
  </si>
  <si>
    <t>Подпрограмма "Формирование комфортной  среды"</t>
  </si>
  <si>
    <t>19 1 00 00000</t>
  </si>
  <si>
    <t>19 1 01 00000</t>
  </si>
  <si>
    <t>19 1 01 00010</t>
  </si>
  <si>
    <t>19 1 01 00020</t>
  </si>
  <si>
    <t>19 1 02 00000</t>
  </si>
  <si>
    <t>19 1 02 00010</t>
  </si>
  <si>
    <t>19 1 03 00000</t>
  </si>
  <si>
    <t>19 1 03 00010</t>
  </si>
  <si>
    <t>19 1 03 00020</t>
  </si>
  <si>
    <t>19 1 03 00590</t>
  </si>
  <si>
    <t>19 1 03 60870</t>
  </si>
  <si>
    <t>19 1 03 62670</t>
  </si>
  <si>
    <t>19 1 04 00000</t>
  </si>
  <si>
    <t>19 1 04 00010</t>
  </si>
  <si>
    <t>19 1 04 00020</t>
  </si>
  <si>
    <t>19 1 04 00030</t>
  </si>
  <si>
    <t>19 1 04 00040</t>
  </si>
  <si>
    <t>19 1 04 00050</t>
  </si>
  <si>
    <t>19 1 05 00000</t>
  </si>
  <si>
    <t>19 1 05 00020</t>
  </si>
  <si>
    <t>19 1 05 00040</t>
  </si>
  <si>
    <t>Подпрограмма "Формирование комфортной экологической среды"</t>
  </si>
  <si>
    <t xml:space="preserve">19 2 00 00000 </t>
  </si>
  <si>
    <t>Основное мероприятие "Выявления и ликвидация несанкционированных свалок"</t>
  </si>
  <si>
    <t>19 2 01 00000</t>
  </si>
  <si>
    <t>Ликвидация несанкционированных свалок и навалов мусора</t>
  </si>
  <si>
    <t>19 2 01 00010</t>
  </si>
  <si>
    <t>Основное мероприятие "Экологическое образование, воспитание и информирование населения о состоянии окружающей среды"</t>
  </si>
  <si>
    <t>19 2 02 00000</t>
  </si>
  <si>
    <t>Озеленение территории (коллективная посадка деревьев)</t>
  </si>
  <si>
    <t>19 2 02 00010</t>
  </si>
  <si>
    <t>Валка сухих и аварийных деревьев</t>
  </si>
  <si>
    <t>19 2 02 00020</t>
  </si>
  <si>
    <t>Устройство площадок для выгула собак</t>
  </si>
  <si>
    <t>19 2 02 00030</t>
  </si>
  <si>
    <t>19 2 02 00040</t>
  </si>
  <si>
    <t>Информирование населения о мероприятиях экологической направленности</t>
  </si>
  <si>
    <t>19 2 02 00050</t>
  </si>
  <si>
    <t>Основное мероприятие "Охрана водных объектов"</t>
  </si>
  <si>
    <t>19 2 04 00000</t>
  </si>
  <si>
    <t>19 2 04 00010</t>
  </si>
  <si>
    <t>Мероприятия по уничтожению борщевика</t>
  </si>
  <si>
    <t>19 2 04 00020</t>
  </si>
  <si>
    <t>Мероприятия в целях приведения объектов муниципальной казны в состояние, пригодное для эксплуатации</t>
  </si>
  <si>
    <t>18 0 02 00010</t>
  </si>
  <si>
    <t>Проектирование, перекладка канализационных сетей п. Инженерный, д.Ивановское</t>
  </si>
  <si>
    <t>Проектирование и перекладка водопроводной сети г. Красногорск, ул. Комсомольская- ул. Циолковского</t>
  </si>
  <si>
    <t>Содержание жилых объектов муниципальной казны</t>
  </si>
  <si>
    <t>Содержание нежилых объектов муниципальной казны</t>
  </si>
  <si>
    <t>Проектирование, строительство и реконструкция сетей ливневой канализации</t>
  </si>
  <si>
    <t>11 0 02 00090</t>
  </si>
  <si>
    <t>19 1 01 00030</t>
  </si>
  <si>
    <t>Обустройство набережной Москвы-реки в мкр. Павшинская пойма напротив жилых домов №№14-18 по ул. Красногорский бульвар</t>
  </si>
  <si>
    <t>95 0 00 20000</t>
  </si>
  <si>
    <t>Освобожденный депутат Совета депутатов городского округа</t>
  </si>
  <si>
    <t>Основное мероприятие "Выявление и устранение нарушений градостроительных и иных норм"</t>
  </si>
  <si>
    <t>Содержание береговой линии водоемов, организация пляжного отдыха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</si>
  <si>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</si>
  <si>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04 3 04 00000</t>
  </si>
  <si>
    <t>Оказание финансовой поддержки социально-ориентированным некоммерческим организациям в сфере охраны здоровья</t>
  </si>
  <si>
    <t>04 3 04 00010</t>
  </si>
  <si>
    <t>Субсидии (гранты в форме субсидий),  подлежащие казначейскому сопровождению</t>
  </si>
  <si>
    <t>Проведение мероприятий по подготовке учреждения к оказанию  услуг в сфере физической культуры и спорта</t>
  </si>
  <si>
    <t>05 0 02 00050</t>
  </si>
  <si>
    <t>02 0 02 05040</t>
  </si>
  <si>
    <t>02 0 02 05070</t>
  </si>
  <si>
    <t>330</t>
  </si>
  <si>
    <t>Повышение квалификации работников учреждений культуры</t>
  </si>
  <si>
    <t>Публично-нормативные выплаты гражданам несоциального характера</t>
  </si>
  <si>
    <t>Обслуживание сетей ливневой канализации и очистных сооружений</t>
  </si>
  <si>
    <t>Работы по капитальному ремонту и ремонту автомобильных дорог, примыкающих к территориям садоводческих, огороднических и дачных некоммерческих объединений граждан</t>
  </si>
  <si>
    <t>Закупка товаров, работ, услуг в целях капитального
ремонта государственного (муниципального) имущества</t>
  </si>
  <si>
    <t>11 0 02 S0250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</si>
  <si>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</si>
  <si>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</si>
  <si>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17 2 D6 00000</t>
  </si>
  <si>
    <t>17 2 D6 S0940</t>
  </si>
  <si>
    <t>03 3 01 S4082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</si>
  <si>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адресу: городской округ Красногорск, музей-усадьба Архангельское и прилегающая застройка)</t>
  </si>
  <si>
    <t>03 3 01 S4084</t>
  </si>
  <si>
    <t>03 3 01 S4085</t>
  </si>
  <si>
    <t>03 3 01 S4086</t>
  </si>
  <si>
    <t>Федеральный проект "Формирование комфортной городской среды"</t>
  </si>
  <si>
    <t>19 1 F2 00000</t>
  </si>
  <si>
    <t>19 1 F2 S2630</t>
  </si>
  <si>
    <t>Проектирование и строительство физкультурно-оздоровительного комплекса с искусственным льдом г. Красногорск мкр.1</t>
  </si>
  <si>
    <t>05 0 01 00030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</si>
  <si>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</si>
  <si>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 1 P2 00000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</si>
  <si>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</si>
  <si>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 1 Р2 51590</t>
  </si>
  <si>
    <t>03 3 01 00210</t>
  </si>
  <si>
    <t>01 2 04 23000</t>
  </si>
  <si>
    <t>Оснащение многофункционального здания МБОУ "Образовательный центр "Созвездие""</t>
  </si>
  <si>
    <t>01 2 04 60510</t>
  </si>
  <si>
    <t>Оснащение оборудованием многофункционального здания МБОУ "Образовательный центр "Созвездие"" за счет средств ОБ</t>
  </si>
  <si>
    <t>Работы по капитальному ремонту и ремонту автомобильных дорог общего пользования местного значения</t>
  </si>
  <si>
    <t>11 0 02 S0240</t>
  </si>
  <si>
    <t>Дополнительные мероприятия по развитию жилищно-коммунального хозяйства и социально-культурной сферы</t>
  </si>
  <si>
    <t>01 3 02 04400</t>
  </si>
  <si>
    <t>02 0 F2 S0070</t>
  </si>
  <si>
    <t>02 0 01 04400</t>
  </si>
  <si>
    <t>02 0 F2 00000</t>
  </si>
  <si>
    <t>Развитие хоккея: материально-техническое обеспечение  ФОК с искусственным льдом  г. Красногорск мкр.1</t>
  </si>
  <si>
    <t>05 0 01 00150</t>
  </si>
  <si>
    <t>01 2 01 04400</t>
  </si>
  <si>
    <t>Федеральный проект "Информационная инфраструктура"</t>
  </si>
  <si>
    <t>01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</si>
  <si>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 в сеть Интернет</t>
  </si>
  <si>
    <t>01 2 D2 S0600</t>
  </si>
  <si>
    <t>Федеральный проект "Современная школа"</t>
  </si>
  <si>
    <t>01 2 E1 00000</t>
  </si>
  <si>
    <t xml:space="preserve">Софинансирование на создание центров образования цифрового и гуманитарного профилей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</si>
  <si>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</si>
  <si>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 2 E1 51690</t>
  </si>
  <si>
    <t xml:space="preserve">Создание центров образования цифрового и гуманитарного профилей </t>
  </si>
  <si>
    <t>01 2 E1 62760</t>
  </si>
  <si>
    <t>Ремонт подъездов в многоквартирных домах</t>
  </si>
  <si>
    <t>19 1 05 S0950</t>
  </si>
  <si>
    <t>03 2 01 S4031</t>
  </si>
  <si>
    <t>19 1 F2 S1360</t>
  </si>
  <si>
    <t>04 2 01 S2640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</si>
  <si>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</si>
  <si>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10 4 06 60710</t>
  </si>
  <si>
    <t>Перекладка напорной канализации 2Д400 по ул. Ткацкая фабрика, мкр.Опалиха г. Красногорск</t>
  </si>
  <si>
    <t>Строительство (реконструкция) канализационных коллекторов, канализационных насосных станций (Реконструкция канализационного коллектора 2Ф-1200 мм от КНС-1 Павшино до врезки в Московскую систему канализации на участке от точки "А" в районе вантузной камеры на левом берегу реки Москвы до камеры с регулирующими задвижками у пешеходного моста на правом берегу с дюкером переходом через реку Москву)</t>
  </si>
  <si>
    <t>Проектирование: ВЗУ, устройство центральной канализации п. Ильинское - Усово</t>
  </si>
  <si>
    <t>Строительство и реконструкция объектов коммунальной инфраструктуры (Реконструкция с увеличением мощности ЦТП ПДХ Архангельское, ЦТП №4, с отключением и выводом из эксплуатации ЦТП №3 с последующим его демонтажем по адресу: пос. Архангельское, г.о. Красногорск (в том числе ПИР))</t>
  </si>
  <si>
    <t>Строительство и реконструкция объектов коммунальной инфраструктуры (Реконструкция наружных водопроводных сетей по адресу : г.о. Красногорск, пос. Архангельское, территория музея-усадьбы Архангельское и прилегающая территория (в том числе ПИР))</t>
  </si>
  <si>
    <t>Строительство и реконструкция объектов коммунальной инфраструктуры (Реконструкция наружных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ПИР))</t>
  </si>
  <si>
    <t>Проектирование, реконструкция, капитальный ремонт ГТС №4 на р. Синичка в г. Красногорске</t>
  </si>
  <si>
    <t>19 1 04 62630</t>
  </si>
  <si>
    <t>Погашение кредиторской задолженности на 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</si>
  <si>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11 0 02 60240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</si>
  <si>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</si>
  <si>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</si>
  <si>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</si>
  <si>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02 S2260</t>
  </si>
  <si>
    <t xml:space="preserve">Капитальные вложения в общеобразовательные организации в целях обеспечения односменного режима обучения 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</si>
  <si>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</si>
  <si>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06 2 01 S2190</t>
  </si>
  <si>
    <t>02 0 01 02020</t>
  </si>
  <si>
    <t>Изменение облика фасада МАУК "Красногорский культурно-досуговый комплекс "Подмосковье"</t>
  </si>
  <si>
    <t>15 0 02 00020</t>
  </si>
  <si>
    <t>15 0 02 00030</t>
  </si>
  <si>
    <t>Проведение мероприятий по подготовке учреждений к оказанию образовательной услуги</t>
  </si>
  <si>
    <t>01 2 02 21050</t>
  </si>
  <si>
    <t>Основное мероприятие "Организационно-штатные мероприятия в ОМСУ и оптимизация сети и штата учреждений"</t>
  </si>
  <si>
    <t>10 4 09 00000</t>
  </si>
  <si>
    <t>10 4 09 00010</t>
  </si>
  <si>
    <t xml:space="preserve">Проведение ликвидационных мероприятий </t>
  </si>
  <si>
    <t>10 4 09 00020</t>
  </si>
  <si>
    <t>Организационно-штатные мероприятия в ОМСУ</t>
  </si>
  <si>
    <t>Определение размера коэффициентов, учитывающих местоположение при расчете арендной платы за пользование земельными участками, находящимися в муниципальной собственности и собственность на которые не разграничена</t>
  </si>
  <si>
    <t>13 0 03 00900</t>
  </si>
  <si>
    <t>Закупка товаров, работ и услуг для государственных (муниципальных) нужд</t>
  </si>
  <si>
    <t>11 0 01 S1570</t>
  </si>
  <si>
    <t xml:space="preserve"> Субсидии на возмещение недополученных доходов и (или) возмещение фактически понесенных затрат
</t>
  </si>
  <si>
    <t>Субсидия на погашение кредиторской задолженности</t>
  </si>
  <si>
    <t xml:space="preserve">Субсидии (гранты в форме субсидий), подлежащие казначейскому сопровождению </t>
  </si>
  <si>
    <t>05 0 05 00030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</si>
  <si>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</si>
  <si>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 2 E4 52100</t>
  </si>
  <si>
    <t xml:space="preserve">Оснащение планшетными компьютерами общеобразовательных организаций в Московской области </t>
  </si>
  <si>
    <t>01 2 E4 S2770</t>
  </si>
  <si>
    <t xml:space="preserve">Оснащение мультимедийными проекторами и экранами для мультимедийных проекторов общеобразовательных организаций в Московской области </t>
  </si>
  <si>
    <t>01 2 E4 S2780</t>
  </si>
  <si>
    <t>Федеральный проект "Цифровая образовательная среда"</t>
  </si>
  <si>
    <t>01 2 E4 00000</t>
  </si>
  <si>
    <t>Федеральный проект "Культурная среда"</t>
  </si>
  <si>
    <t>01 3 А1 00000</t>
  </si>
  <si>
    <t>01 3 A1 55190</t>
  </si>
  <si>
    <t>Муниципальная программа городского округа Красногорск  "Образование"</t>
  </si>
  <si>
    <t>Муниципальная программа городского округа Красногорск  "Социальная поддержка населения"</t>
  </si>
  <si>
    <t>Муниципальная программа городского округа Красногорск   "Физическая культура и спорт"</t>
  </si>
  <si>
    <t>Муниципальная программа  городского округа Красногорск  "Информирование населения о деятельности органов местного самоуправления городского округа Красногорск  Московской области"</t>
  </si>
  <si>
    <t>Профилактические мероприятия по дезинсекции и дератизации</t>
  </si>
  <si>
    <t>812</t>
  </si>
  <si>
    <t>Проектирование, строительство, реконструкция, капитальный ремонт, приобретение, техническое обслуживание, монтаж и ввод в эксплуатацию объектов коммунальной инфраструктуры</t>
  </si>
  <si>
    <t>03 3 01 00040</t>
  </si>
  <si>
    <t>03 3 01 00290</t>
  </si>
  <si>
    <t>Мероприятия по развитию благоустроенных территорий</t>
  </si>
  <si>
    <t>19 1 03 00050</t>
  </si>
  <si>
    <t>Содержание лесного участка "Изумрудные холмы"</t>
  </si>
  <si>
    <t>Погашение кредиторской задолженности</t>
  </si>
  <si>
    <t>19 1 03 00060</t>
  </si>
  <si>
    <t>19 1 03 00070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</si>
  <si>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</si>
  <si>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</si>
  <si>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Техническое обслуживание газопровода и газового оборудования д. Путилково</t>
  </si>
  <si>
    <t>Погашение кредиторской задолженности работ по устройству и капитальному ремонту электросетевого хозяйства, систем наружного и архитектурного-художественного освещения в рамках реализации приоритетного проекта "Светлый город"</t>
  </si>
  <si>
    <t xml:space="preserve"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</t>
  </si>
  <si>
    <t>17 1 03 S0130</t>
  </si>
  <si>
    <t>Содействие развитию и популяризации хоккея с шайбой среди детей и молодежи городского округа Красногорск</t>
  </si>
  <si>
    <t>05 0 05 00040</t>
  </si>
  <si>
    <t>Федеральный проект «Спорт - норма жизни»</t>
  </si>
  <si>
    <t xml:space="preserve">Приобретение спортивного оборудования и инвентаря для приведения организаций спортивной подготовки в нормативное состояние </t>
  </si>
  <si>
    <t>05 0 P5 00000</t>
  </si>
  <si>
    <t>05 0 Р5 52290</t>
  </si>
  <si>
    <t>Капитальные вложения в муниципальные объекты физической культуры и спорта</t>
  </si>
  <si>
    <t>05 0 P5 S4220</t>
  </si>
  <si>
    <t>Содействие развитию и популяризации бокса среди детей и молодежи городского округа Красногорск</t>
  </si>
  <si>
    <t>Субсидии (гранты в форме субсидий),подлежащие казначейскому сопровождению</t>
  </si>
  <si>
    <t>10 4 06 44000</t>
  </si>
  <si>
    <t>13 0 01 00400</t>
  </si>
  <si>
    <t>99 0 00 01060</t>
  </si>
  <si>
    <t>Ремонт помещений администрации</t>
  </si>
  <si>
    <t>Взносы в Уставной капитал</t>
  </si>
  <si>
    <t>Оплата административных штрафов</t>
  </si>
  <si>
    <t>01 1 Р2 S2330</t>
  </si>
  <si>
    <t>01 2 Е1 S4261</t>
  </si>
  <si>
    <t>01 2 Е1 S4480</t>
  </si>
  <si>
    <t>01 2 E1 S2760</t>
  </si>
  <si>
    <t>Ремонт дворовых территорий</t>
  </si>
  <si>
    <t>19 1 F2 S2740</t>
  </si>
  <si>
    <t>03 3 01 S0321</t>
  </si>
  <si>
    <t>Устройство контейнерных площадок</t>
  </si>
  <si>
    <t>Вывоз твердых коммунальных отходов</t>
  </si>
  <si>
    <t>19 1 03 00080</t>
  </si>
  <si>
    <t>19 1 03 00090</t>
  </si>
  <si>
    <t>Приобретение коммунальной техники</t>
  </si>
  <si>
    <t>Комплексное благоустройство территорий муниципальных образований Московской области</t>
  </si>
  <si>
    <t>Обустройство и установка детских игровых площадок на территории парков культуры и отдыха Московской области</t>
  </si>
  <si>
    <t>19 1 F2 S1580</t>
  </si>
  <si>
    <t>19 1 F2 S1590</t>
  </si>
  <si>
    <t>Пособия, компенсации и иные социальные выплаты гражданам, кроме публично нормативных обязательств</t>
  </si>
  <si>
    <t>05 0 02 00060</t>
  </si>
  <si>
    <t>01 3 02 21500</t>
  </si>
  <si>
    <t>Ремонт кровли здания, расположенного по адресу: го Красногорск, ул. Вокзальная, д.27а</t>
  </si>
  <si>
    <t>Устройство и капитальный ремонт электросетевого хозяйства, систем наружного  освещения в рамках реализации проекта "Светлый город"</t>
  </si>
  <si>
    <t>02 0 02 05030</t>
  </si>
  <si>
    <t>02 0 02 05060</t>
  </si>
  <si>
    <t>Основное мероприятие "Подготовка градостроительной документации для обеспечения территориального развития городского округа Красногорск Московской области"</t>
  </si>
  <si>
    <t>18 0 01 00000</t>
  </si>
  <si>
    <t>Формирование базы данных информационной системы обеспечения градостроительной деятельности Московской области</t>
  </si>
  <si>
    <t>18 0 01 00070</t>
  </si>
  <si>
    <t>19 1 03 00100</t>
  </si>
  <si>
    <t>Федеральный проект "Успех каждого ребенка"</t>
  </si>
  <si>
    <t>Обеспечение функционирования модели персонифицированного финансирования дополнительного образования детей</t>
  </si>
  <si>
    <t>01 3 E2 00000</t>
  </si>
  <si>
    <t>01 3 E2 00100</t>
  </si>
  <si>
    <t>03 3 01 00310</t>
  </si>
  <si>
    <t>Мероприятия по поддержке предприятий ЖКХ городского округа Красногорск</t>
  </si>
  <si>
    <t>Прочие мероприятия по благоустройству округа</t>
  </si>
  <si>
    <t>05 0 06 00030</t>
  </si>
  <si>
    <t>Выплата единовременного поощрения муниципальным служащим при выходе на пенсию</t>
  </si>
  <si>
    <t>10 4 03 00030</t>
  </si>
  <si>
    <t>15 0 01 00040</t>
  </si>
  <si>
    <t>Укрепление материально-технической базы МБУ "Красногорское телевидение"</t>
  </si>
  <si>
    <t>Обустройство и установка детских игровых площадок на территории муниципальных образований Московской области</t>
  </si>
  <si>
    <t>Капитальный ремонт, приобретение, монтаж и ввод в эксплуатацию объектов водоснабжения (Капитальный ремонт ВЗУ в п. Архангельское Красногорского района)</t>
  </si>
  <si>
    <t>Капитальный ремонт, приобретение, монтаж и ввод в эксплуатацию объектов коммунальной инфраструктуры(Капитальный ремонт водопроводных сетей (аварийные работы) участок (ВК-30-ВК-36) пос. Архангельский городской округ Красногорск)</t>
  </si>
  <si>
    <t>Приобретение трёх фекальных насосов на КНС-1 в мкр. Павшинская пойма</t>
  </si>
  <si>
    <t>03 2 01 00050</t>
  </si>
  <si>
    <t xml:space="preserve">Капитальные вложения в объекты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</si>
  <si>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1 Р2 04430</t>
  </si>
  <si>
    <t>ПИР и строительство общеобразовательной школы на 550 мест по адресу: Московская область, городской округ Красногорск, р.п. Нахабино, ул. Молодёжная, д.1</t>
  </si>
  <si>
    <t xml:space="preserve">Строительство общеобразовательной школы на 825 мест по адресу: Московская область, Красногорский р-н, вблизи г. Красногорск   </t>
  </si>
  <si>
    <t>01 2 Е1 04261</t>
  </si>
  <si>
    <t>01 2 Е1 04262</t>
  </si>
  <si>
    <t>01 2 Е1 04480</t>
  </si>
  <si>
    <t xml:space="preserve">Проектирование и строительство  детского сада на 125 мест по адресу: Московская обл., г. Красногорск, мкр. Опалиха,  ул. Горького, д.4 (Подготовительные работы для размещения объекта)    </t>
  </si>
  <si>
    <t>Сумма
(тыс. рублей)</t>
  </si>
  <si>
    <t>Премии Совета депутатов городского округа Красногорск</t>
  </si>
  <si>
    <t>Проведение капитального ремонта и ремонта в муниципальных учреждениях</t>
  </si>
  <si>
    <t>15 0 01 51200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</si>
  <si>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</si>
  <si>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2019 год</t>
  </si>
  <si>
    <t>РЗ</t>
  </si>
  <si>
    <t>ПР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</si>
  <si>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плановый период 2020 и 2021 годов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</si>
  <si>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</si>
  <si>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</si>
  <si>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</si>
  <si>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</si>
  <si>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Муниципальная программа  городского округа Красногорск "Эффективное управление"</t>
  </si>
  <si>
    <t>01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</si>
  <si>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</si>
  <si>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</si>
  <si>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</si>
  <si>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 xml:space="preserve">Центральный аппарат </t>
  </si>
  <si>
    <t xml:space="preserve">Заместитель председателя Совета депутатов </t>
  </si>
  <si>
    <t>Функционирование местных администраций</t>
  </si>
  <si>
    <t>04</t>
  </si>
  <si>
    <t>Муниципальная программа городского округа Красногорск "Образование"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</si>
  <si>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</si>
  <si>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</si>
  <si>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Основное мероприятие "Повышение мотивации муниципальных служащих"</t>
  </si>
  <si>
    <t>Аппарат администрации</t>
  </si>
  <si>
    <t>Муниципальная программа городского округа  Красногорск "Снижение административных барьеров и развитие информационно-коммуникационных технологий"</t>
  </si>
  <si>
    <t>Муниципальная программа  городского округа Красногорск "Формирование комфортной городской среды"</t>
  </si>
  <si>
    <t>Исполнение судебных актов РФ и мировых соглашений</t>
  </si>
  <si>
    <t>Обеспечение деятельности финансовых, налоговых и таможенных  органов и органов финансово-бюджетного надзора</t>
  </si>
  <si>
    <t>06</t>
  </si>
  <si>
    <t>Муниципальная программа  городского округа Красногорск "Снижение административных барьеров и развитие информационно-коммуникационных технологий"</t>
  </si>
  <si>
    <t>Другие непрограммные расходы</t>
  </si>
  <si>
    <t>Обеспечение проведения выборов и референдумов</t>
  </si>
  <si>
    <t>07</t>
  </si>
  <si>
    <t>Муниципальная программа  городского округа городского округа Красногорск "Эффективное управление"</t>
  </si>
  <si>
    <t>Резервные фонды</t>
  </si>
  <si>
    <t>11</t>
  </si>
  <si>
    <t xml:space="preserve">Муниципальная программа городского округа Красногорск "Безопасность населения" </t>
  </si>
  <si>
    <t xml:space="preserve">Резервный фонд администрации городского округа Красногорск на предупреждение и ликвидацию чрезвычайных ситуаций и стихийных бедствий
</t>
  </si>
  <si>
    <t>Резервные средства администрации городского округа Красногорск</t>
  </si>
  <si>
    <t>Резервный фонд</t>
  </si>
  <si>
    <t>Другие общегосударственные вопросы</t>
  </si>
  <si>
    <t>13</t>
  </si>
  <si>
    <t>Муниципальная программа городского округа Красногорск "Социальная поддержка населения"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</si>
  <si>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</si>
  <si>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Мероприятия по подготовке и проведению Праздника труда</t>
  </si>
  <si>
    <t>Расходы на обеспечение деятельности (оказание услуг) МКУ "ЦБ го Красногорск"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</si>
  <si>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</si>
  <si>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Муниципальная программа городского округа Красногорск "Земельно-имущественные отношения"</t>
  </si>
  <si>
    <t xml:space="preserve">Оценка рыночной стоимости и права аренды объектов недвижимости         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</si>
  <si>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</si>
  <si>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</si>
  <si>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</si>
  <si>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</si>
  <si>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</si>
  <si>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</si>
  <si>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</si>
  <si>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</si>
  <si>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Муниципальная программа  городского округа Красногорск "Развитие транспортной системы"</t>
  </si>
  <si>
    <t>Дорожное хозяйство</t>
  </si>
  <si>
    <t>Другие  вопросы в области национальной экономики</t>
  </si>
  <si>
    <t>12</t>
  </si>
  <si>
    <t xml:space="preserve">Муниципальная программа городского округа Красногорск "Развитие малого и среднего предпринимательства" </t>
  </si>
  <si>
    <t>Муниципальная программа городского округа Красногорск "Территориальное развитие"</t>
  </si>
  <si>
    <t>Проведение внешней независимой строительной экспертизы самовольно возведенных объектов для выявления нарушений градостроительных и иных норм</t>
  </si>
  <si>
    <t>Жилищно-коммунальное хозяйство</t>
  </si>
  <si>
    <t>05</t>
  </si>
  <si>
    <t>Жилищное хозяйство</t>
  </si>
  <si>
    <t>Муниципальная программа городского округа Красногорск "Содержание и развитие инженерной инфраструктуры и энергоэффективности"</t>
  </si>
  <si>
    <t>Благоустройство</t>
  </si>
  <si>
    <t>Муниципальная программа  городского округа Красногорск "Развитие потребительского рынка и услуг"</t>
  </si>
  <si>
    <t>Другие вопросы в области ЖКХ</t>
  </si>
  <si>
    <t>Охрана окружающей среды</t>
  </si>
  <si>
    <t>Другие расходы в области охраны окружающей среды</t>
  </si>
  <si>
    <t xml:space="preserve">Образование </t>
  </si>
  <si>
    <t>Дошкольное образование</t>
  </si>
  <si>
    <t>Основное мероприятие: "Создание и развитие объектов дошкольного образования (включая реконструкцию со строительством пристроек)</t>
  </si>
  <si>
    <t>01 1 01 00020</t>
  </si>
  <si>
    <t>Основное мероприятие: " Обеспечение реализации федерального государственного образовательного стандарта дошкольного образования"</t>
  </si>
  <si>
    <t>Муниципальная программа городского округа Красногорск "Развитие транспортной системы"</t>
  </si>
  <si>
    <t xml:space="preserve">Общее образование                                                               </t>
  </si>
  <si>
    <t xml:space="preserve">   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</si>
  <si>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 инвалидами качественного образования</t>
  </si>
  <si>
    <t>Дополнительное образование детей</t>
  </si>
  <si>
    <t xml:space="preserve">Переподготовка и повышение квалификации                                         </t>
  </si>
  <si>
    <t xml:space="preserve"> Молодежная политика и оздоровление детей                                        </t>
  </si>
  <si>
    <t>Муниципальная программа городского округа Красногорск "Дети и молодёжь"</t>
  </si>
  <si>
    <t>Подпрограмма "Организация отдыха, оздоровления, занятости детей и молодёжи городского округа Красногорск в свободное от учёбы время"</t>
  </si>
  <si>
    <t xml:space="preserve">Другие вопросы в области образования                                            </t>
  </si>
  <si>
    <t>Муниципальная программа городского округа Красногорск "Эффективное управление"</t>
  </si>
  <si>
    <t>Культура и кинематография</t>
  </si>
  <si>
    <t>Культура</t>
  </si>
  <si>
    <t xml:space="preserve">Муниципальная программа городского округа Красногорск "Культура" </t>
  </si>
  <si>
    <t>02 0 0102060</t>
  </si>
  <si>
    <t>Проектирование и строительство восточного флигеля, Усадьба Знаменское-Губайлово</t>
  </si>
  <si>
    <t>Проведение работ по разработке проекта реставрации и приспособления  объекта культурного наследия федерального значения "Усадьбы Знаменское-Губайлово, флигель XIX века"</t>
  </si>
  <si>
    <t>Проведение работ по разработке проекта реставрации и приспособления  объекта культурного наследия федерального значения "Усадьбы Знаменское-Губайлово, конюшня"</t>
  </si>
  <si>
    <t xml:space="preserve">Разработка научно-проектной документации (концепции) сохранения, использования и популяризации объекта культурного наследия Знаменское-Губайлово </t>
  </si>
  <si>
    <t>Муниципальная программа городского округа Красногорск "Социальная поддержка населения "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</si>
  <si>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</si>
  <si>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</si>
  <si>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</si>
  <si>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</si>
  <si>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</si>
  <si>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</si>
  <si>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</si>
  <si>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Подпрограмма "Социальная поддержка"</t>
  </si>
  <si>
    <t xml:space="preserve">Оказание единовременной материальной помощи    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</si>
  <si>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</si>
  <si>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городского округа Красногорск для постоянного проживания на обустройство по месту жительства</t>
  </si>
  <si>
    <t>Охрана семьи и детства</t>
  </si>
  <si>
    <t>Аппарат управления по культуре, делам молодежи, физической культуры и спорта</t>
  </si>
  <si>
    <t>Муниципальная программа  городского округа городского округа Красногорск  "Эффективное управление"</t>
  </si>
  <si>
    <t>Муниципальная программа городского округа Красногорск "Жилище"</t>
  </si>
  <si>
    <t>Подпрограмма  "Обеспечение жильём детей-сирот и детей, оставшихся без попечения родителей, а также лиц из их числа"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</si>
  <si>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</si>
  <si>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Капитальные вложения в объекты недвижимого имущества государственной (муниципальной) собственности</t>
  </si>
  <si>
    <t>Физическая культура и спорт</t>
  </si>
  <si>
    <t xml:space="preserve">Физическая культура </t>
  </si>
  <si>
    <t>Муниципальная программа городского округа Красногорск "Физическая культура и спорт"</t>
  </si>
  <si>
    <t>Массовый спорт</t>
  </si>
  <si>
    <t>Муниципальная программа городского округа Красногорск  "Физическая культура и спорт"</t>
  </si>
  <si>
    <t>Спорт высших достижений</t>
  </si>
  <si>
    <t>Обеспечение деятельности учреждений по спортивной подготовки</t>
  </si>
  <si>
    <t>Мероприятия в учреждениях по спортивной подготовки</t>
  </si>
  <si>
    <t>Средства массовой информации</t>
  </si>
  <si>
    <t>Телевидение и радиовещание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</si>
  <si>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 Московской области""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</si>
  <si>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</si>
  <si>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Периодическая печать и издательства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</si>
  <si>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области""</t>
  </si>
  <si>
    <t>Другие вопросы в области средств массовой информации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</si>
  <si>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</t>
  </si>
  <si>
    <t>Основное мероприятие " Повышение уровня информированности населения городского округа Красногорск посредством наружной рекламы"</t>
  </si>
  <si>
    <t>Организация перевозок обучающихся  муниципальных общеобразовательных организаций</t>
  </si>
  <si>
    <t>Расширение возможностей формирования приоритетных компетентностей учащихся го Красногорск (программа "Взлетай")</t>
  </si>
  <si>
    <t>19 1 01 S1270</t>
  </si>
  <si>
    <t>Реализация мероприятий, связанных с запуском Московских центральных диаметров</t>
  </si>
  <si>
    <t>Устройство линий уличного освещения</t>
  </si>
  <si>
    <t>19 1 04 00060</t>
  </si>
  <si>
    <t xml:space="preserve">Поддержка отрасли культуры </t>
  </si>
  <si>
    <t>Капитальный ремонт колодцев</t>
  </si>
  <si>
    <t>03 3 01 00140</t>
  </si>
  <si>
    <t>Государственная поддержка отрасли культуры</t>
  </si>
  <si>
    <t>Аппарат управления культуры</t>
  </si>
  <si>
    <t>Проектирование и капитальный ремонт помещения для МУК "АРТ-центр "Бруски"</t>
  </si>
  <si>
    <t>02 0 02 L5190</t>
  </si>
  <si>
    <t>Основное мероприятие "Проектирование, строительство, реконструкция, капитальный ремонт, приобретение, монтаж и ввод в эксплуатацию объектов водоснабжения"</t>
  </si>
  <si>
    <t>Коммунальное хозяйство</t>
  </si>
  <si>
    <t>03 1 01 S0331</t>
  </si>
  <si>
    <t>Аренда помещения и оплата коммунальных услуг по ДК "Салют"</t>
  </si>
  <si>
    <t>02 0 01 02070</t>
  </si>
  <si>
    <t>Подготовка и издание книги "Они вернулись с Победой"</t>
  </si>
  <si>
    <t>05 0 02 00070</t>
  </si>
  <si>
    <t>Размещение информации на территории общеобразовательных школ</t>
  </si>
  <si>
    <t>03 3 01 61430</t>
  </si>
  <si>
    <t>Погашение просроченной задолженности за потребленные тепло- энерго- ресурсы перед поставщиками тепло- энерго- ресурсов</t>
  </si>
  <si>
    <t>01 1 01 S1230</t>
  </si>
  <si>
    <t>05 0 01 00160</t>
  </si>
  <si>
    <t>Установка мачт освещения на ядре лыжного стадиона</t>
  </si>
  <si>
    <t>03 3 01 00320</t>
  </si>
  <si>
    <t>Выполнение капитального ремонта муниципального имущества ресурсоснабжающими организациями</t>
  </si>
  <si>
    <t>Приобретение (выкуп) нежилых помещений и земельного участка под размещение ясельных групп в возрасте от 2 месяцев до 3 лет</t>
  </si>
  <si>
    <t>19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</si>
  <si>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</si>
  <si>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19 1 01 S1350</t>
  </si>
  <si>
    <t xml:space="preserve">Субсидия на создание новых и благоустройство существующих парков культуры и отдыха 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</si>
  <si>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 </t>
  </si>
  <si>
    <t>Организация деятельности многофункциональных центров предоставления государственных и муниципальных услуг</t>
  </si>
  <si>
    <t>17 1 02 S0140</t>
  </si>
  <si>
    <t>17 1 02 S0650</t>
  </si>
  <si>
    <t>Выплата заработной платы в муниципальных дошкольных образовательных учреждениях</t>
  </si>
  <si>
    <t>01 1 02 72000</t>
  </si>
  <si>
    <t>19 1 05 00070</t>
  </si>
  <si>
    <t>Покрытие убытков муниципальным учреждениям, осуществляющим управление многоквартирными домами</t>
  </si>
  <si>
    <t>Процент исполнения</t>
  </si>
  <si>
    <t>План
 (тыс. рублей)</t>
  </si>
  <si>
    <t>Исполнено
(тыс. рублей)</t>
  </si>
  <si>
    <t>исп</t>
  </si>
  <si>
    <t xml:space="preserve">Расходы бюджета городского округа Красногорск за 2019 год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</si>
</sst>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0"/>
    <numFmt numFmtId="167" formatCode="#,##0.00000"/>
    <numFmt numFmtId="168" formatCode="#,##0.00000_ ;[Red]\-#,##0.00000\ "/>
    <numFmt numFmtId="169" formatCode="#,##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9"/>
      <name val="Arial"/>
      <family val="2"/>
      <charset val="204"/>
    </font>
    <font>
      <b/>
      <sz val="14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9"/>
      <color theme="1"/>
      <name val="Arial"/>
      <family val="2"/>
      <charset val="204"/>
    </font>
    <font>
      <b/>
      <i/>
      <sz val="12"/>
      <name val="Times New Roman Cyr"/>
      <family val="1"/>
      <charset val="204"/>
    </font>
    <font>
      <sz val="11"/>
      <name val="Times New Roman Cyr"/>
      <charset val="204"/>
    </font>
    <font>
      <b/>
      <i/>
      <sz val="14"/>
      <name val="Times New Roman Cyr"/>
      <charset val="204"/>
    </font>
    <font>
      <i/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38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7" fontId="10" fillId="0" borderId="1" xfId="4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center" vertical="center"/>
    </xf>
    <xf numFmtId="167" fontId="11" fillId="0" borderId="1" xfId="4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67" fontId="11" fillId="0" borderId="1" xfId="4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67" fontId="9" fillId="0" borderId="1" xfId="4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167" fontId="8" fillId="0" borderId="1" xfId="4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center" vertical="center"/>
    </xf>
    <xf numFmtId="167" fontId="11" fillId="0" borderId="1" xfId="4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9" applyNumberFormat="1" applyFont="1" applyFill="1" applyBorder="1" applyAlignment="1">
      <alignment vertical="center" wrapText="1"/>
    </xf>
    <xf numFmtId="4" fontId="11" fillId="0" borderId="1" xfId="9" applyNumberFormat="1" applyFont="1" applyFill="1" applyBorder="1" applyAlignment="1">
      <alignment vertical="center" wrapText="1"/>
    </xf>
    <xf numFmtId="167" fontId="10" fillId="0" borderId="2" xfId="4" applyNumberFormat="1" applyFont="1" applyFill="1" applyBorder="1" applyAlignment="1">
      <alignment horizontal="right" vertical="center" wrapText="1"/>
    </xf>
    <xf numFmtId="168" fontId="11" fillId="0" borderId="1" xfId="4" applyNumberFormat="1" applyFont="1" applyFill="1" applyBorder="1" applyAlignment="1">
      <alignment horizontal="right" vertical="center"/>
    </xf>
    <xf numFmtId="49" fontId="11" fillId="0" borderId="1" xfId="0" quotePrefix="1" applyNumberFormat="1" applyFont="1" applyFill="1" applyBorder="1" applyAlignment="1">
      <alignment horizontal="center" vertical="center"/>
    </xf>
    <xf numFmtId="167" fontId="10" fillId="0" borderId="1" xfId="9" applyNumberFormat="1" applyFont="1" applyFill="1" applyBorder="1" applyAlignment="1">
      <alignment horizontal="right" wrapText="1"/>
    </xf>
    <xf numFmtId="167" fontId="9" fillId="0" borderId="1" xfId="9" applyNumberFormat="1" applyFont="1" applyFill="1" applyBorder="1" applyAlignment="1">
      <alignment horizontal="right" vertical="center"/>
    </xf>
    <xf numFmtId="167" fontId="11" fillId="0" borderId="1" xfId="9" applyNumberFormat="1" applyFont="1" applyFill="1" applyBorder="1" applyAlignment="1">
      <alignment horizontal="right" vertical="center"/>
    </xf>
    <xf numFmtId="168" fontId="11" fillId="0" borderId="1" xfId="9" applyNumberFormat="1" applyFont="1" applyFill="1" applyBorder="1" applyAlignment="1">
      <alignment vertical="center" wrapText="1"/>
    </xf>
    <xf numFmtId="49" fontId="10" fillId="0" borderId="1" xfId="0" quotePrefix="1" applyNumberFormat="1" applyFont="1" applyFill="1" applyBorder="1" applyAlignment="1">
      <alignment horizontal="center" vertical="center"/>
    </xf>
    <xf numFmtId="168" fontId="11" fillId="0" borderId="1" xfId="9" applyNumberFormat="1" applyFont="1" applyFill="1" applyBorder="1" applyAlignment="1">
      <alignment horizontal="right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4" fontId="11" fillId="0" borderId="1" xfId="9" applyNumberFormat="1" applyFont="1" applyFill="1" applyBorder="1" applyAlignment="1">
      <alignment horizontal="right" vertical="center" wrapText="1"/>
    </xf>
    <xf numFmtId="167" fontId="11" fillId="0" borderId="1" xfId="4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left" vertical="center" wrapText="1"/>
    </xf>
    <xf numFmtId="0" fontId="11" fillId="0" borderId="1" xfId="22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67" fontId="11" fillId="0" borderId="1" xfId="16" applyNumberFormat="1" applyFont="1" applyFill="1" applyBorder="1" applyAlignment="1">
      <alignment horizontal="right" vertical="center"/>
    </xf>
    <xf numFmtId="49" fontId="11" fillId="0" borderId="1" xfId="2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22" applyFont="1" applyFill="1" applyBorder="1" applyAlignment="1">
      <alignment vertical="center" wrapText="1"/>
    </xf>
    <xf numFmtId="49" fontId="11" fillId="0" borderId="1" xfId="22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 vertical="center"/>
    </xf>
    <xf numFmtId="167" fontId="11" fillId="0" borderId="1" xfId="9" applyNumberFormat="1" applyFont="1" applyFill="1" applyBorder="1" applyAlignment="1">
      <alignment horizontal="right" vertical="center" wrapText="1"/>
    </xf>
    <xf numFmtId="167" fontId="10" fillId="0" borderId="1" xfId="9" applyNumberFormat="1" applyFont="1" applyFill="1" applyBorder="1" applyAlignment="1">
      <alignment horizontal="right" vertical="center" wrapText="1"/>
    </xf>
    <xf numFmtId="167" fontId="9" fillId="0" borderId="1" xfId="9" applyNumberFormat="1" applyFont="1" applyFill="1" applyBorder="1" applyAlignment="1">
      <alignment horizontal="right" vertical="center" wrapText="1"/>
    </xf>
    <xf numFmtId="166" fontId="11" fillId="0" borderId="1" xfId="4" applyNumberFormat="1" applyFont="1" applyFill="1" applyBorder="1" applyAlignment="1">
      <alignment horizontal="right" vertical="center"/>
    </xf>
    <xf numFmtId="166" fontId="11" fillId="0" borderId="1" xfId="9" applyNumberFormat="1" applyFont="1" applyFill="1" applyBorder="1" applyAlignment="1">
      <alignment horizontal="right" vertical="center"/>
    </xf>
    <xf numFmtId="166" fontId="11" fillId="0" borderId="1" xfId="4" applyNumberFormat="1" applyFont="1" applyFill="1" applyBorder="1" applyAlignment="1">
      <alignment vertical="center" wrapText="1"/>
    </xf>
    <xf numFmtId="166" fontId="11" fillId="0" borderId="1" xfId="9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3" fontId="11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0" fillId="0" borderId="0" xfId="0" applyFont="1" applyFill="1"/>
    <xf numFmtId="167" fontId="11" fillId="0" borderId="1" xfId="9" applyNumberFormat="1" applyFont="1" applyFill="1" applyBorder="1" applyAlignment="1">
      <alignment horizontal="right" wrapText="1"/>
    </xf>
    <xf numFmtId="167" fontId="10" fillId="0" borderId="1" xfId="4" applyNumberFormat="1" applyFont="1" applyFill="1" applyBorder="1" applyAlignment="1">
      <alignment horizontal="right" vertical="center"/>
    </xf>
    <xf numFmtId="167" fontId="10" fillId="0" borderId="1" xfId="9" applyNumberFormat="1" applyFont="1" applyFill="1" applyBorder="1" applyAlignment="1">
      <alignment wrapText="1"/>
    </xf>
    <xf numFmtId="167" fontId="10" fillId="0" borderId="1" xfId="9" applyNumberFormat="1" applyFont="1" applyFill="1" applyBorder="1" applyAlignment="1">
      <alignment horizontal="right" vertical="center"/>
    </xf>
    <xf numFmtId="167" fontId="11" fillId="0" borderId="0" xfId="4" applyNumberFormat="1" applyFont="1" applyFill="1" applyAlignment="1">
      <alignment horizontal="right" vertical="center"/>
    </xf>
    <xf numFmtId="167" fontId="21" fillId="0" borderId="0" xfId="0" applyNumberFormat="1" applyFont="1" applyFill="1" applyAlignment="1">
      <alignment horizontal="right" vertical="center" wrapText="1"/>
    </xf>
    <xf numFmtId="167" fontId="21" fillId="0" borderId="1" xfId="4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Alignment="1">
      <alignment horizontal="center" vertical="center" wrapText="1"/>
    </xf>
    <xf numFmtId="167" fontId="21" fillId="0" borderId="0" xfId="4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67" fontId="11" fillId="0" borderId="1" xfId="9" applyNumberFormat="1" applyFont="1" applyFill="1" applyBorder="1" applyAlignment="1">
      <alignment wrapText="1"/>
    </xf>
    <xf numFmtId="0" fontId="20" fillId="0" borderId="1" xfId="1" applyFont="1" applyFill="1" applyBorder="1" applyAlignment="1">
      <alignment horizontal="left" wrapText="1"/>
    </xf>
    <xf numFmtId="167" fontId="13" fillId="0" borderId="0" xfId="4" applyNumberFormat="1" applyFont="1" applyFill="1" applyAlignment="1">
      <alignment horizontal="right" vertical="center"/>
    </xf>
    <xf numFmtId="167" fontId="0" fillId="0" borderId="0" xfId="0" applyNumberFormat="1" applyFont="1" applyFill="1"/>
    <xf numFmtId="2" fontId="16" fillId="0" borderId="1" xfId="4" applyNumberFormat="1" applyFont="1" applyFill="1" applyBorder="1" applyAlignment="1">
      <alignment horizontal="right" vertical="center"/>
    </xf>
    <xf numFmtId="4" fontId="11" fillId="0" borderId="1" xfId="9" applyNumberFormat="1" applyFont="1" applyFill="1" applyBorder="1" applyAlignment="1">
      <alignment wrapText="1"/>
    </xf>
    <xf numFmtId="0" fontId="32" fillId="0" borderId="0" xfId="0" applyFont="1" applyFill="1"/>
    <xf numFmtId="2" fontId="13" fillId="0" borderId="1" xfId="4" applyNumberFormat="1" applyFont="1" applyFill="1" applyBorder="1" applyAlignment="1">
      <alignment horizontal="right" vertical="center"/>
    </xf>
    <xf numFmtId="2" fontId="15" fillId="0" borderId="0" xfId="0" applyNumberFormat="1" applyFont="1" applyFill="1" applyAlignment="1">
      <alignment vertical="center"/>
    </xf>
    <xf numFmtId="2" fontId="21" fillId="0" borderId="0" xfId="4" applyNumberFormat="1" applyFont="1" applyFill="1" applyAlignment="1">
      <alignment horizontal="right" vertical="center"/>
    </xf>
    <xf numFmtId="2" fontId="21" fillId="0" borderId="0" xfId="0" applyNumberFormat="1" applyFont="1" applyFill="1" applyAlignment="1">
      <alignment horizontal="center" vertical="center" wrapText="1"/>
    </xf>
    <xf numFmtId="2" fontId="8" fillId="0" borderId="3" xfId="4" applyNumberFormat="1" applyFont="1" applyFill="1" applyBorder="1" applyAlignment="1">
      <alignment horizontal="center" vertical="center" wrapText="1"/>
    </xf>
    <xf numFmtId="2" fontId="21" fillId="0" borderId="1" xfId="4" applyNumberFormat="1" applyFont="1" applyFill="1" applyBorder="1" applyAlignment="1">
      <alignment horizontal="center" vertical="center"/>
    </xf>
    <xf numFmtId="2" fontId="13" fillId="0" borderId="0" xfId="4" applyNumberFormat="1" applyFont="1" applyFill="1" applyAlignment="1">
      <alignment horizontal="right" vertical="center"/>
    </xf>
    <xf numFmtId="169" fontId="10" fillId="0" borderId="1" xfId="9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>
      <alignment horizontal="center" vertical="center" wrapText="1"/>
    </xf>
    <xf numFmtId="167" fontId="21" fillId="0" borderId="0" xfId="4" applyNumberFormat="1" applyFont="1" applyFill="1" applyAlignment="1">
      <alignment horizontal="right" vertical="center"/>
    </xf>
    <xf numFmtId="167" fontId="21" fillId="0" borderId="1" xfId="4" applyNumberFormat="1" applyFont="1" applyFill="1" applyBorder="1" applyAlignment="1">
      <alignment horizontal="center" vertical="center"/>
    </xf>
    <xf numFmtId="0" fontId="0" fillId="2" borderId="0" xfId="0" applyFont="1" applyFill="1"/>
    <xf numFmtId="167" fontId="0" fillId="2" borderId="0" xfId="0" applyNumberFormat="1" applyFont="1" applyFill="1"/>
    <xf numFmtId="167" fontId="13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/>
    <xf numFmtId="0" fontId="0" fillId="3" borderId="0" xfId="0" applyFont="1" applyFill="1"/>
    <xf numFmtId="167" fontId="11" fillId="3" borderId="0" xfId="4" applyNumberFormat="1" applyFont="1" applyFill="1" applyAlignment="1">
      <alignment horizontal="right" vertical="center"/>
    </xf>
    <xf numFmtId="0" fontId="33" fillId="3" borderId="0" xfId="0" applyFont="1" applyFill="1" applyAlignment="1">
      <alignment horizontal="center" wrapText="1"/>
    </xf>
    <xf numFmtId="2" fontId="0" fillId="3" borderId="0" xfId="0" applyNumberFormat="1" applyFont="1" applyFill="1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167" fontId="6" fillId="3" borderId="0" xfId="4" applyNumberFormat="1" applyFont="1" applyFill="1" applyAlignment="1">
      <alignment horizontal="right" vertical="center"/>
    </xf>
    <xf numFmtId="2" fontId="11" fillId="3" borderId="0" xfId="4" applyNumberFormat="1" applyFont="1" applyFill="1" applyAlignment="1">
      <alignment horizontal="right" vertical="center"/>
    </xf>
    <xf numFmtId="0" fontId="21" fillId="3" borderId="1" xfId="0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wrapText="1"/>
    </xf>
    <xf numFmtId="2" fontId="31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167" fontId="16" fillId="3" borderId="1" xfId="4" applyNumberFormat="1" applyFont="1" applyFill="1" applyBorder="1" applyAlignment="1">
      <alignment horizontal="right" vertical="center"/>
    </xf>
    <xf numFmtId="2" fontId="16" fillId="3" borderId="1" xfId="4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7" fontId="8" fillId="3" borderId="1" xfId="4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167" fontId="17" fillId="3" borderId="1" xfId="4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11" fillId="3" borderId="1" xfId="0" quotePrefix="1" applyNumberFormat="1" applyFont="1" applyFill="1" applyBorder="1" applyAlignment="1">
      <alignment horizontal="center" vertical="center"/>
    </xf>
    <xf numFmtId="167" fontId="9" fillId="3" borderId="1" xfId="4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167" fontId="11" fillId="3" borderId="1" xfId="4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0" quotePrefix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7" fontId="10" fillId="3" borderId="1" xfId="4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7" fontId="9" fillId="3" borderId="1" xfId="4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167" fontId="11" fillId="3" borderId="1" xfId="4" applyNumberFormat="1" applyFont="1" applyFill="1" applyBorder="1" applyAlignment="1">
      <alignment horizontal="right" vertical="center" wrapText="1"/>
    </xf>
    <xf numFmtId="0" fontId="11" fillId="3" borderId="1" xfId="0" quotePrefix="1" applyFont="1" applyFill="1" applyBorder="1" applyAlignment="1">
      <alignment horizontal="center" vertical="center"/>
    </xf>
    <xf numFmtId="167" fontId="11" fillId="3" borderId="1" xfId="9" applyNumberFormat="1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wrapText="1"/>
    </xf>
    <xf numFmtId="167" fontId="8" fillId="3" borderId="1" xfId="9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wrapText="1"/>
    </xf>
    <xf numFmtId="167" fontId="11" fillId="3" borderId="1" xfId="9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wrapText="1"/>
    </xf>
    <xf numFmtId="167" fontId="9" fillId="3" borderId="1" xfId="9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top" wrapText="1"/>
    </xf>
    <xf numFmtId="49" fontId="8" fillId="3" borderId="1" xfId="0" quotePrefix="1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10" fillId="3" borderId="1" xfId="0" quotePrefix="1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8" fillId="3" borderId="1" xfId="0" quotePrefix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4" fontId="11" fillId="3" borderId="1" xfId="9" applyNumberFormat="1" applyFont="1" applyFill="1" applyBorder="1" applyAlignment="1">
      <alignment horizontal="right" vertical="center" wrapText="1"/>
    </xf>
    <xf numFmtId="167" fontId="17" fillId="3" borderId="1" xfId="9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center"/>
    </xf>
    <xf numFmtId="167" fontId="9" fillId="3" borderId="1" xfId="9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vertical="top" wrapText="1"/>
    </xf>
    <xf numFmtId="49" fontId="13" fillId="3" borderId="1" xfId="0" applyNumberFormat="1" applyFont="1" applyFill="1" applyBorder="1" applyAlignment="1">
      <alignment horizontal="center" vertical="center" wrapText="1"/>
    </xf>
    <xf numFmtId="168" fontId="8" fillId="3" borderId="1" xfId="9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wrapText="1"/>
    </xf>
    <xf numFmtId="167" fontId="11" fillId="3" borderId="1" xfId="9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9" fillId="3" borderId="1" xfId="22" applyFont="1" applyFill="1" applyBorder="1" applyAlignment="1">
      <alignment horizontal="left" vertical="center" wrapText="1"/>
    </xf>
    <xf numFmtId="49" fontId="9" fillId="3" borderId="1" xfId="22" applyNumberFormat="1" applyFont="1" applyFill="1" applyBorder="1" applyAlignment="1">
      <alignment horizontal="center" vertical="center" wrapText="1"/>
    </xf>
    <xf numFmtId="49" fontId="11" fillId="3" borderId="1" xfId="22" applyNumberFormat="1" applyFont="1" applyFill="1" applyBorder="1" applyAlignment="1">
      <alignment horizontal="center" vertical="center" wrapText="1"/>
    </xf>
    <xf numFmtId="49" fontId="9" fillId="3" borderId="1" xfId="22" applyNumberFormat="1" applyFont="1" applyFill="1" applyBorder="1" applyAlignment="1">
      <alignment horizontal="center" vertical="center"/>
    </xf>
    <xf numFmtId="167" fontId="9" fillId="3" borderId="1" xfId="16" applyNumberFormat="1" applyFont="1" applyFill="1" applyBorder="1" applyAlignment="1">
      <alignment horizontal="right" vertical="center"/>
    </xf>
    <xf numFmtId="167" fontId="11" fillId="3" borderId="1" xfId="16" applyNumberFormat="1" applyFont="1" applyFill="1" applyBorder="1" applyAlignment="1">
      <alignment horizontal="right" vertical="center"/>
    </xf>
    <xf numFmtId="0" fontId="11" fillId="3" borderId="1" xfId="22" applyFont="1" applyFill="1" applyBorder="1" applyAlignment="1">
      <alignment horizontal="left" vertical="center" wrapText="1"/>
    </xf>
    <xf numFmtId="167" fontId="8" fillId="3" borderId="1" xfId="16" applyNumberFormat="1" applyFont="1" applyFill="1" applyBorder="1" applyAlignment="1">
      <alignment horizontal="right" vertical="center"/>
    </xf>
    <xf numFmtId="167" fontId="21" fillId="3" borderId="1" xfId="4" applyNumberFormat="1" applyFont="1" applyFill="1" applyBorder="1" applyAlignment="1">
      <alignment horizontal="right" vertical="center"/>
    </xf>
    <xf numFmtId="167" fontId="24" fillId="3" borderId="1" xfId="4" applyNumberFormat="1" applyFont="1" applyFill="1" applyBorder="1" applyAlignment="1">
      <alignment horizontal="right" vertical="center"/>
    </xf>
    <xf numFmtId="167" fontId="8" fillId="3" borderId="1" xfId="9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22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left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wrapText="1"/>
    </xf>
    <xf numFmtId="167" fontId="8" fillId="3" borderId="1" xfId="4" applyNumberFormat="1" applyFont="1" applyFill="1" applyBorder="1" applyAlignment="1">
      <alignment horizontal="right" vertical="center" wrapText="1"/>
    </xf>
    <xf numFmtId="49" fontId="8" fillId="3" borderId="1" xfId="0" applyNumberFormat="1" applyFont="1" applyFill="1" applyBorder="1" applyAlignment="1">
      <alignment horizontal="center" wrapText="1"/>
    </xf>
    <xf numFmtId="167" fontId="13" fillId="3" borderId="1" xfId="9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167" fontId="9" fillId="3" borderId="1" xfId="9" applyNumberFormat="1" applyFont="1" applyFill="1" applyBorder="1" applyAlignment="1">
      <alignment wrapText="1"/>
    </xf>
    <xf numFmtId="49" fontId="11" fillId="3" borderId="1" xfId="0" applyNumberFormat="1" applyFont="1" applyFill="1" applyBorder="1" applyAlignment="1">
      <alignment horizontal="center" wrapText="1"/>
    </xf>
    <xf numFmtId="167" fontId="11" fillId="3" borderId="1" xfId="9" applyNumberFormat="1" applyFont="1" applyFill="1" applyBorder="1" applyAlignment="1">
      <alignment wrapText="1"/>
    </xf>
    <xf numFmtId="4" fontId="11" fillId="3" borderId="1" xfId="9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167" fontId="13" fillId="3" borderId="1" xfId="4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 wrapText="1"/>
    </xf>
    <xf numFmtId="167" fontId="9" fillId="3" borderId="1" xfId="9" applyNumberFormat="1" applyFont="1" applyFill="1" applyBorder="1" applyAlignment="1">
      <alignment vertical="center" wrapText="1"/>
    </xf>
    <xf numFmtId="167" fontId="9" fillId="3" borderId="1" xfId="4" applyNumberFormat="1" applyFont="1" applyFill="1" applyBorder="1" applyAlignment="1">
      <alignment vertical="center" wrapText="1"/>
    </xf>
    <xf numFmtId="166" fontId="9" fillId="3" borderId="1" xfId="4" applyNumberFormat="1" applyFont="1" applyFill="1" applyBorder="1" applyAlignment="1">
      <alignment vertical="center" wrapText="1"/>
    </xf>
    <xf numFmtId="167" fontId="11" fillId="3" borderId="1" xfId="4" applyNumberFormat="1" applyFont="1" applyFill="1" applyBorder="1" applyAlignment="1">
      <alignment vertical="center" wrapText="1"/>
    </xf>
    <xf numFmtId="166" fontId="11" fillId="3" borderId="1" xfId="4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wrapText="1"/>
    </xf>
    <xf numFmtId="168" fontId="9" fillId="3" borderId="1" xfId="9" applyNumberFormat="1" applyFont="1" applyFill="1" applyBorder="1" applyAlignment="1">
      <alignment vertical="center" wrapText="1"/>
    </xf>
    <xf numFmtId="168" fontId="11" fillId="3" borderId="1" xfId="9" applyNumberFormat="1" applyFont="1" applyFill="1" applyBorder="1" applyAlignment="1">
      <alignment vertical="center" wrapText="1"/>
    </xf>
    <xf numFmtId="0" fontId="18" fillId="3" borderId="1" xfId="1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wrapText="1"/>
    </xf>
    <xf numFmtId="0" fontId="32" fillId="3" borderId="0" xfId="0" applyFont="1" applyFill="1"/>
    <xf numFmtId="167" fontId="10" fillId="3" borderId="1" xfId="4" applyNumberFormat="1" applyFont="1" applyFill="1" applyBorder="1" applyAlignment="1">
      <alignment vertical="center" wrapText="1"/>
    </xf>
    <xf numFmtId="166" fontId="10" fillId="3" borderId="1" xfId="4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 vertical="center" wrapText="1"/>
    </xf>
    <xf numFmtId="167" fontId="21" fillId="3" borderId="1" xfId="9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7" fontId="18" fillId="3" borderId="1" xfId="9" applyNumberFormat="1" applyFont="1" applyFill="1" applyBorder="1" applyAlignment="1">
      <alignment horizontal="right" vertical="center" wrapText="1"/>
    </xf>
    <xf numFmtId="167" fontId="10" fillId="3" borderId="1" xfId="9" applyNumberFormat="1" applyFont="1" applyFill="1" applyBorder="1" applyAlignment="1">
      <alignment horizontal="right" vertical="center" wrapText="1"/>
    </xf>
    <xf numFmtId="168" fontId="11" fillId="3" borderId="1" xfId="9" applyNumberFormat="1" applyFont="1" applyFill="1" applyBorder="1" applyAlignment="1">
      <alignment horizontal="right" vertical="center"/>
    </xf>
    <xf numFmtId="166" fontId="11" fillId="3" borderId="1" xfId="9" applyNumberFormat="1" applyFont="1" applyFill="1" applyBorder="1" applyAlignment="1">
      <alignment horizontal="right" vertical="center"/>
    </xf>
    <xf numFmtId="168" fontId="9" fillId="3" borderId="1" xfId="9" applyNumberFormat="1" applyFont="1" applyFill="1" applyBorder="1" applyAlignment="1">
      <alignment horizontal="right" vertical="center"/>
    </xf>
    <xf numFmtId="49" fontId="25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166" fontId="11" fillId="3" borderId="1" xfId="4" applyNumberFormat="1" applyFont="1" applyFill="1" applyBorder="1" applyAlignment="1">
      <alignment horizontal="right" vertical="center"/>
    </xf>
    <xf numFmtId="49" fontId="19" fillId="3" borderId="1" xfId="0" applyNumberFormat="1" applyFont="1" applyFill="1" applyBorder="1" applyAlignment="1">
      <alignment vertical="top" wrapText="1"/>
    </xf>
    <xf numFmtId="49" fontId="17" fillId="3" borderId="1" xfId="0" applyNumberFormat="1" applyFont="1" applyFill="1" applyBorder="1" applyAlignment="1">
      <alignment horizontal="center" wrapText="1"/>
    </xf>
    <xf numFmtId="167" fontId="17" fillId="3" borderId="1" xfId="9" applyNumberFormat="1" applyFont="1" applyFill="1" applyBorder="1" applyAlignment="1">
      <alignment horizontal="right" wrapText="1"/>
    </xf>
    <xf numFmtId="167" fontId="24" fillId="3" borderId="1" xfId="9" applyNumberFormat="1" applyFont="1" applyFill="1" applyBorder="1" applyAlignment="1">
      <alignment horizontal="right" wrapText="1"/>
    </xf>
    <xf numFmtId="167" fontId="11" fillId="3" borderId="1" xfId="9" applyNumberFormat="1" applyFont="1" applyFill="1" applyBorder="1" applyAlignment="1">
      <alignment horizontal="right" wrapText="1"/>
    </xf>
    <xf numFmtId="167" fontId="10" fillId="3" borderId="1" xfId="9" applyNumberFormat="1" applyFont="1" applyFill="1" applyBorder="1" applyAlignment="1">
      <alignment horizontal="right" wrapText="1"/>
    </xf>
    <xf numFmtId="167" fontId="17" fillId="3" borderId="1" xfId="4" applyNumberFormat="1" applyFont="1" applyFill="1" applyBorder="1" applyAlignment="1">
      <alignment horizontal="right" vertical="center" wrapText="1"/>
    </xf>
    <xf numFmtId="167" fontId="18" fillId="3" borderId="1" xfId="4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167" fontId="10" fillId="3" borderId="1" xfId="4" applyNumberFormat="1" applyFont="1" applyFill="1" applyBorder="1" applyAlignment="1">
      <alignment horizontal="right" vertical="center" wrapText="1"/>
    </xf>
    <xf numFmtId="167" fontId="9" fillId="3" borderId="1" xfId="9" applyNumberFormat="1" applyFont="1" applyFill="1" applyBorder="1" applyAlignment="1">
      <alignment horizontal="right" wrapText="1"/>
    </xf>
    <xf numFmtId="167" fontId="9" fillId="3" borderId="1" xfId="9" applyNumberFormat="1" applyFont="1" applyFill="1" applyBorder="1" applyAlignment="1">
      <alignment horizontal="right"/>
    </xf>
    <xf numFmtId="0" fontId="10" fillId="3" borderId="1" xfId="0" quotePrefix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wrapText="1"/>
    </xf>
    <xf numFmtId="0" fontId="19" fillId="3" borderId="1" xfId="0" applyFont="1" applyFill="1" applyBorder="1" applyAlignment="1" applyProtection="1">
      <alignment wrapText="1"/>
      <protection hidden="1"/>
    </xf>
    <xf numFmtId="167" fontId="10" fillId="3" borderId="1" xfId="9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7" fontId="8" fillId="3" borderId="1" xfId="9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/>
    </xf>
    <xf numFmtId="167" fontId="18" fillId="3" borderId="1" xfId="9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168" fontId="18" fillId="3" borderId="1" xfId="9" applyNumberFormat="1" applyFont="1" applyFill="1" applyBorder="1" applyAlignment="1">
      <alignment horizontal="right" vertical="center" wrapText="1"/>
    </xf>
    <xf numFmtId="168" fontId="11" fillId="3" borderId="1" xfId="9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vertical="top" wrapText="1"/>
    </xf>
    <xf numFmtId="167" fontId="24" fillId="3" borderId="1" xfId="9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left" vertical="center" wrapText="1"/>
    </xf>
    <xf numFmtId="167" fontId="10" fillId="3" borderId="1" xfId="9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7" fontId="18" fillId="3" borderId="1" xfId="4" applyNumberFormat="1" applyFont="1" applyFill="1" applyBorder="1" applyAlignment="1">
      <alignment horizontal="right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2" fontId="13" fillId="3" borderId="1" xfId="4" applyNumberFormat="1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11" fillId="3" borderId="1" xfId="0" quotePrefix="1" applyNumberFormat="1" applyFont="1" applyFill="1" applyBorder="1" applyAlignment="1">
      <alignment horizontal="center" vertical="center"/>
    </xf>
    <xf numFmtId="4" fontId="9" fillId="3" borderId="1" xfId="0" quotePrefix="1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3" fontId="11" fillId="3" borderId="1" xfId="0" quotePrefix="1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8" fontId="17" fillId="3" borderId="1" xfId="9" applyNumberFormat="1" applyFont="1" applyFill="1" applyBorder="1" applyAlignment="1">
      <alignment horizontal="right" vertical="center"/>
    </xf>
    <xf numFmtId="49" fontId="17" fillId="3" borderId="1" xfId="0" quotePrefix="1" applyNumberFormat="1" applyFont="1" applyFill="1" applyBorder="1" applyAlignment="1">
      <alignment horizontal="center" vertical="center"/>
    </xf>
    <xf numFmtId="168" fontId="11" fillId="3" borderId="1" xfId="4" applyNumberFormat="1" applyFont="1" applyFill="1" applyBorder="1" applyAlignment="1">
      <alignment horizontal="right" vertical="center"/>
    </xf>
    <xf numFmtId="166" fontId="8" fillId="3" borderId="1" xfId="4" applyNumberFormat="1" applyFont="1" applyFill="1" applyBorder="1" applyAlignment="1">
      <alignment horizontal="right" vertical="center"/>
    </xf>
    <xf numFmtId="0" fontId="29" fillId="3" borderId="1" xfId="0" applyFont="1" applyFill="1" applyBorder="1" applyAlignment="1">
      <alignment horizontal="left" vertical="center" wrapText="1"/>
    </xf>
    <xf numFmtId="2" fontId="11" fillId="3" borderId="1" xfId="4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167" fontId="8" fillId="3" borderId="0" xfId="4" applyNumberFormat="1" applyFont="1" applyFill="1" applyBorder="1" applyAlignment="1">
      <alignment horizontal="right" vertical="center"/>
    </xf>
    <xf numFmtId="2" fontId="8" fillId="3" borderId="0" xfId="4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167" fontId="8" fillId="3" borderId="0" xfId="4" applyNumberFormat="1" applyFont="1" applyFill="1" applyAlignment="1">
      <alignment horizontal="right" vertical="center"/>
    </xf>
    <xf numFmtId="2" fontId="8" fillId="3" borderId="0" xfId="4" applyNumberFormat="1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167" fontId="14" fillId="3" borderId="0" xfId="4" applyNumberFormat="1" applyFont="1" applyFill="1" applyAlignment="1">
      <alignment horizontal="right" vertical="center"/>
    </xf>
    <xf numFmtId="2" fontId="14" fillId="3" borderId="0" xfId="4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vertical="center"/>
    </xf>
    <xf numFmtId="2" fontId="6" fillId="3" borderId="0" xfId="4" applyNumberFormat="1" applyFont="1" applyFill="1" applyAlignment="1">
      <alignment horizontal="right" vertical="center"/>
    </xf>
    <xf numFmtId="167" fontId="0" fillId="3" borderId="0" xfId="0" applyNumberFormat="1" applyFont="1" applyFill="1"/>
  </cellXfs>
  <cellStyles count="4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3 2" xfId="7" xr:uid="{00000000-0005-0000-0000-000003000000}"/>
    <cellStyle name="Обычный 3 2 2" xfId="18" xr:uid="{00000000-0005-0000-0000-000004000000}"/>
    <cellStyle name="Обычный 3 2 2 2" xfId="29" xr:uid="{00000000-0005-0000-0000-000005000000}"/>
    <cellStyle name="Обычный 3 2 2 3" xfId="43" xr:uid="{00000000-0005-0000-0000-000006000000}"/>
    <cellStyle name="Обычный 3 2 3" xfId="25" xr:uid="{00000000-0005-0000-0000-000007000000}"/>
    <cellStyle name="Обычный 3 2 3 2" xfId="40" xr:uid="{00000000-0005-0000-0000-000008000000}"/>
    <cellStyle name="Обычный 3 2 4" xfId="21" xr:uid="{00000000-0005-0000-0000-000009000000}"/>
    <cellStyle name="Обычный 3 2 5" xfId="14" xr:uid="{00000000-0005-0000-0000-00000A000000}"/>
    <cellStyle name="Обычный 3 2 6" xfId="38" xr:uid="{00000000-0005-0000-0000-00000B000000}"/>
    <cellStyle name="Обычный 3 3" xfId="17" xr:uid="{00000000-0005-0000-0000-00000C000000}"/>
    <cellStyle name="Обычный 3 3 2" xfId="28" xr:uid="{00000000-0005-0000-0000-00000D000000}"/>
    <cellStyle name="Обычный 3 3 3" xfId="42" xr:uid="{00000000-0005-0000-0000-00000E000000}"/>
    <cellStyle name="Обычный 3 4" xfId="24" xr:uid="{00000000-0005-0000-0000-00000F000000}"/>
    <cellStyle name="Обычный 3 4 2" xfId="39" xr:uid="{00000000-0005-0000-0000-000010000000}"/>
    <cellStyle name="Обычный 3 5" xfId="20" xr:uid="{00000000-0005-0000-0000-000011000000}"/>
    <cellStyle name="Обычный 3 6" xfId="13" xr:uid="{00000000-0005-0000-0000-000012000000}"/>
    <cellStyle name="Обычный 3 7" xfId="37" xr:uid="{00000000-0005-0000-0000-000013000000}"/>
    <cellStyle name="Обычный 4" xfId="5" xr:uid="{00000000-0005-0000-0000-000014000000}"/>
    <cellStyle name="Обычный 5" xfId="3" xr:uid="{00000000-0005-0000-0000-000015000000}"/>
    <cellStyle name="Обычный 6" xfId="12" xr:uid="{00000000-0005-0000-0000-000016000000}"/>
    <cellStyle name="Обычный 7" xfId="22" xr:uid="{00000000-0005-0000-0000-000017000000}"/>
    <cellStyle name="Обычный 7 2" xfId="34" xr:uid="{00000000-0005-0000-0000-000018000000}"/>
    <cellStyle name="Обычный 8" xfId="10" xr:uid="{00000000-0005-0000-0000-000019000000}"/>
    <cellStyle name="Обычный 9" xfId="31" xr:uid="{00000000-0005-0000-0000-00001A000000}"/>
    <cellStyle name="Финансовый" xfId="4" builtinId="3"/>
    <cellStyle name="Финансовый 2" xfId="6" xr:uid="{00000000-0005-0000-0000-00001C000000}"/>
    <cellStyle name="Финансовый 3" xfId="8" xr:uid="{00000000-0005-0000-0000-00001D000000}"/>
    <cellStyle name="Финансовый 3 2" xfId="19" xr:uid="{00000000-0005-0000-0000-00001E000000}"/>
    <cellStyle name="Финансовый 3 2 2" xfId="30" xr:uid="{00000000-0005-0000-0000-00001F000000}"/>
    <cellStyle name="Финансовый 3 2 3" xfId="44" xr:uid="{00000000-0005-0000-0000-000020000000}"/>
    <cellStyle name="Финансовый 3 3" xfId="26" xr:uid="{00000000-0005-0000-0000-000021000000}"/>
    <cellStyle name="Финансовый 3 4" xfId="15" xr:uid="{00000000-0005-0000-0000-000022000000}"/>
    <cellStyle name="Финансовый 3 5" xfId="41" xr:uid="{00000000-0005-0000-0000-000023000000}"/>
    <cellStyle name="Финансовый 4" xfId="9" xr:uid="{00000000-0005-0000-0000-000024000000}"/>
    <cellStyle name="Финансовый 5" xfId="16" xr:uid="{00000000-0005-0000-0000-000025000000}"/>
    <cellStyle name="Финансовый 5 2" xfId="27" xr:uid="{00000000-0005-0000-0000-000026000000}"/>
    <cellStyle name="Финансовый 5 2 2" xfId="36" xr:uid="{00000000-0005-0000-0000-000027000000}"/>
    <cellStyle name="Финансовый 5 3" xfId="33" xr:uid="{00000000-0005-0000-0000-000028000000}"/>
    <cellStyle name="Финансовый 6" xfId="23" xr:uid="{00000000-0005-0000-0000-000029000000}"/>
    <cellStyle name="Финансовый 6 2" xfId="35" xr:uid="{00000000-0005-0000-0000-00002A000000}"/>
    <cellStyle name="Финансовый 7" xfId="11" xr:uid="{00000000-0005-0000-0000-00002B000000}"/>
    <cellStyle name="Финансовый 8" xfId="32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DS2363"/>
  <sheetViews>
    <sheetView tabSelected="1" view="pageBreakPreview" topLeftCell="A2213" zoomScale="85" zoomScaleNormal="85" zoomScaleSheetLayoutView="87" workbookViewId="0">
      <selection activeCell="A2214" sqref="A2214"/>
    </sheetView>
  </sheetViews>
  <sheetFormatPr defaultColWidth="9.140625" defaultRowHeight="12.75" x14ac:dyDescent="0.2"/>
  <cols>
    <col min="1" max="1" width="83" style="115" customWidth="1"/>
    <col min="2" max="2" width="7.85546875" style="115" bestFit="1" customWidth="1"/>
    <col min="3" max="3" width="8.42578125" style="115" bestFit="1" customWidth="1"/>
    <col min="4" max="4" width="16.85546875" style="115" bestFit="1" customWidth="1"/>
    <col min="5" max="5" width="9" style="115" bestFit="1" customWidth="1"/>
    <col min="6" max="6" width="22.42578125" style="115" customWidth="1"/>
    <col min="7" max="7" width="22.42578125" style="115" bestFit="1" customWidth="1"/>
    <col min="8" max="8" width="22.7109375" style="118" customWidth="1"/>
    <col min="9" max="9" width="15" style="82" hidden="1" customWidth="1"/>
    <col min="10" max="10" width="0" style="82" hidden="1" customWidth="1"/>
    <col min="11" max="11" width="13.42578125" style="82" hidden="1" customWidth="1"/>
    <col min="12" max="12" width="0" style="82" hidden="1" customWidth="1"/>
    <col min="13" max="16384" width="9.140625" style="115"/>
  </cols>
  <sheetData>
    <row r="1" spans="1:11" ht="15.75" x14ac:dyDescent="0.2">
      <c r="H1" s="116" t="s">
        <v>613</v>
      </c>
    </row>
    <row r="2" spans="1:11" ht="69.75" customHeight="1" x14ac:dyDescent="0.3">
      <c r="A2" s="117" t="s">
        <v>1159</v>
      </c>
      <c r="B2" s="117"/>
      <c r="C2" s="117"/>
      <c r="D2" s="117"/>
      <c r="E2" s="117"/>
      <c r="F2" s="117"/>
      <c r="G2" s="117"/>
      <c r="H2" s="117"/>
    </row>
    <row r="4" spans="1:11" ht="15.75" x14ac:dyDescent="0.2">
      <c r="A4" s="119"/>
      <c r="B4" s="120"/>
      <c r="C4" s="120"/>
      <c r="D4" s="121"/>
      <c r="E4" s="121"/>
      <c r="G4" s="122"/>
      <c r="H4" s="123"/>
    </row>
    <row r="5" spans="1:11" s="82" customFormat="1" ht="78.75" hidden="1" x14ac:dyDescent="0.2">
      <c r="A5" s="70" t="s">
        <v>983</v>
      </c>
      <c r="B5" s="70"/>
      <c r="C5" s="70"/>
      <c r="D5" s="70"/>
      <c r="E5" s="70"/>
      <c r="F5" s="88"/>
      <c r="G5" s="43"/>
      <c r="H5" s="101"/>
    </row>
    <row r="6" spans="1:11" s="82" customFormat="1" ht="15.75" hidden="1" x14ac:dyDescent="0.2">
      <c r="A6" s="71"/>
      <c r="B6" s="71"/>
      <c r="C6" s="71"/>
      <c r="D6" s="71"/>
      <c r="E6" s="71"/>
      <c r="F6" s="87"/>
      <c r="G6" s="43"/>
      <c r="H6" s="101"/>
    </row>
    <row r="7" spans="1:11" s="82" customFormat="1" ht="31.5" hidden="1" x14ac:dyDescent="0.2">
      <c r="A7" s="72" t="s">
        <v>9</v>
      </c>
      <c r="B7" s="44" t="s">
        <v>984</v>
      </c>
      <c r="C7" s="44" t="s">
        <v>985</v>
      </c>
      <c r="D7" s="44" t="s">
        <v>10</v>
      </c>
      <c r="E7" s="44" t="s">
        <v>11</v>
      </c>
      <c r="F7" s="89" t="s">
        <v>978</v>
      </c>
      <c r="G7" s="43"/>
      <c r="H7" s="101"/>
    </row>
    <row r="8" spans="1:11" s="82" customFormat="1" ht="15.75" hidden="1" x14ac:dyDescent="0.2">
      <c r="A8" s="70"/>
      <c r="B8" s="70"/>
      <c r="C8" s="70"/>
      <c r="D8" s="70"/>
      <c r="E8" s="70"/>
      <c r="F8" s="87"/>
      <c r="G8" s="109"/>
      <c r="H8" s="102"/>
    </row>
    <row r="9" spans="1:11" s="82" customFormat="1" ht="78.75" hidden="1" x14ac:dyDescent="0.2">
      <c r="A9" s="70" t="s">
        <v>986</v>
      </c>
      <c r="B9" s="70"/>
      <c r="C9" s="70"/>
      <c r="D9" s="70"/>
      <c r="E9" s="70"/>
      <c r="F9" s="70"/>
      <c r="G9" s="70"/>
      <c r="H9" s="103"/>
    </row>
    <row r="10" spans="1:11" s="82" customFormat="1" ht="15.75" hidden="1" x14ac:dyDescent="0.2">
      <c r="A10" s="70"/>
      <c r="B10" s="70"/>
      <c r="C10" s="70"/>
      <c r="D10" s="70"/>
      <c r="E10" s="70"/>
      <c r="F10" s="90"/>
      <c r="G10" s="88"/>
      <c r="H10" s="101"/>
    </row>
    <row r="11" spans="1:11" s="82" customFormat="1" ht="31.5" hidden="1" x14ac:dyDescent="0.2">
      <c r="A11" s="72" t="s">
        <v>9</v>
      </c>
      <c r="B11" s="44" t="s">
        <v>984</v>
      </c>
      <c r="C11" s="44" t="s">
        <v>985</v>
      </c>
      <c r="D11" s="44" t="s">
        <v>10</v>
      </c>
      <c r="E11" s="44" t="s">
        <v>11</v>
      </c>
      <c r="F11" s="43"/>
      <c r="G11" s="108" t="s">
        <v>978</v>
      </c>
      <c r="H11" s="104"/>
    </row>
    <row r="12" spans="1:11" s="82" customFormat="1" ht="15.75" hidden="1" x14ac:dyDescent="0.2">
      <c r="A12" s="72"/>
      <c r="B12" s="44"/>
      <c r="C12" s="44"/>
      <c r="D12" s="44"/>
      <c r="E12" s="44"/>
      <c r="F12" s="43"/>
      <c r="G12" s="110" t="s">
        <v>474</v>
      </c>
      <c r="H12" s="105"/>
    </row>
    <row r="13" spans="1:11" s="82" customFormat="1" ht="15.75" hidden="1" x14ac:dyDescent="0.2">
      <c r="A13" s="70"/>
      <c r="B13" s="73"/>
      <c r="C13" s="73"/>
      <c r="D13" s="73"/>
      <c r="E13" s="73"/>
      <c r="F13" s="91"/>
      <c r="G13" s="91"/>
      <c r="H13" s="101"/>
    </row>
    <row r="14" spans="1:11" ht="28.5" x14ac:dyDescent="0.2">
      <c r="A14" s="124" t="s">
        <v>9</v>
      </c>
      <c r="B14" s="125" t="s">
        <v>984</v>
      </c>
      <c r="C14" s="125" t="s">
        <v>985</v>
      </c>
      <c r="D14" s="125" t="s">
        <v>10</v>
      </c>
      <c r="E14" s="125" t="s">
        <v>11</v>
      </c>
      <c r="F14" s="126" t="s">
        <v>1156</v>
      </c>
      <c r="G14" s="126" t="s">
        <v>1157</v>
      </c>
      <c r="H14" s="127" t="s">
        <v>1155</v>
      </c>
      <c r="K14" s="82" t="s">
        <v>1158</v>
      </c>
    </row>
    <row r="15" spans="1:11" ht="18.75" x14ac:dyDescent="0.2">
      <c r="A15" s="128" t="s">
        <v>987</v>
      </c>
      <c r="B15" s="129" t="s">
        <v>988</v>
      </c>
      <c r="C15" s="129"/>
      <c r="D15" s="129"/>
      <c r="E15" s="129"/>
      <c r="F15" s="130">
        <f>F16+F25+F55+F197+F252+F265+F277</f>
        <v>1169516.5720000002</v>
      </c>
      <c r="G15" s="130">
        <f>G16+G25+G55+G197+G252+G265+G277</f>
        <v>1133003.2309399999</v>
      </c>
      <c r="H15" s="131">
        <f>G15/F15*100</f>
        <v>96.877911614577769</v>
      </c>
      <c r="K15" s="96">
        <f>1133003.23094-G15</f>
        <v>0</v>
      </c>
    </row>
    <row r="16" spans="1:11" ht="31.5" x14ac:dyDescent="0.2">
      <c r="A16" s="132" t="s">
        <v>989</v>
      </c>
      <c r="B16" s="133" t="s">
        <v>988</v>
      </c>
      <c r="C16" s="133" t="s">
        <v>990</v>
      </c>
      <c r="D16" s="133"/>
      <c r="E16" s="133"/>
      <c r="F16" s="134">
        <f>F19</f>
        <v>3361</v>
      </c>
      <c r="G16" s="134">
        <f>G19</f>
        <v>3346.1699600000002</v>
      </c>
      <c r="H16" s="131">
        <f t="shared" ref="H16:H80" si="0">G16/F16*100</f>
        <v>99.558761083011021</v>
      </c>
    </row>
    <row r="17" spans="1:8" ht="31.5" x14ac:dyDescent="0.2">
      <c r="A17" s="132" t="s">
        <v>991</v>
      </c>
      <c r="B17" s="133" t="s">
        <v>992</v>
      </c>
      <c r="C17" s="133" t="s">
        <v>990</v>
      </c>
      <c r="D17" s="133" t="s">
        <v>156</v>
      </c>
      <c r="E17" s="133"/>
      <c r="F17" s="134">
        <f t="shared" ref="F17:G21" si="1">F18</f>
        <v>3361</v>
      </c>
      <c r="G17" s="134">
        <f t="shared" si="1"/>
        <v>3346.1699600000002</v>
      </c>
      <c r="H17" s="131">
        <f t="shared" si="0"/>
        <v>99.558761083011021</v>
      </c>
    </row>
    <row r="18" spans="1:8" ht="18.75" x14ac:dyDescent="0.2">
      <c r="A18" s="135" t="s">
        <v>349</v>
      </c>
      <c r="B18" s="136" t="s">
        <v>992</v>
      </c>
      <c r="C18" s="136" t="s">
        <v>990</v>
      </c>
      <c r="D18" s="137" t="s">
        <v>350</v>
      </c>
      <c r="E18" s="136"/>
      <c r="F18" s="138">
        <f t="shared" si="1"/>
        <v>3361</v>
      </c>
      <c r="G18" s="138">
        <f t="shared" si="1"/>
        <v>3346.1699600000002</v>
      </c>
      <c r="H18" s="131">
        <f t="shared" si="0"/>
        <v>99.558761083011021</v>
      </c>
    </row>
    <row r="19" spans="1:8" ht="31.5" x14ac:dyDescent="0.2">
      <c r="A19" s="132" t="s">
        <v>362</v>
      </c>
      <c r="B19" s="133" t="s">
        <v>992</v>
      </c>
      <c r="C19" s="133" t="s">
        <v>990</v>
      </c>
      <c r="D19" s="139" t="s">
        <v>357</v>
      </c>
      <c r="E19" s="136"/>
      <c r="F19" s="134">
        <f t="shared" si="1"/>
        <v>3361</v>
      </c>
      <c r="G19" s="134">
        <f t="shared" si="1"/>
        <v>3346.1699600000002</v>
      </c>
      <c r="H19" s="131">
        <f t="shared" si="0"/>
        <v>99.558761083011021</v>
      </c>
    </row>
    <row r="20" spans="1:8" ht="18.75" x14ac:dyDescent="0.2">
      <c r="A20" s="140" t="s">
        <v>43</v>
      </c>
      <c r="B20" s="141" t="s">
        <v>988</v>
      </c>
      <c r="C20" s="141" t="s">
        <v>990</v>
      </c>
      <c r="D20" s="142" t="s">
        <v>358</v>
      </c>
      <c r="E20" s="143"/>
      <c r="F20" s="144">
        <f t="shared" si="1"/>
        <v>3361</v>
      </c>
      <c r="G20" s="144">
        <f t="shared" si="1"/>
        <v>3346.1699600000002</v>
      </c>
      <c r="H20" s="131">
        <f t="shared" si="0"/>
        <v>99.558761083011021</v>
      </c>
    </row>
    <row r="21" spans="1:8" ht="47.25" x14ac:dyDescent="0.2">
      <c r="A21" s="145" t="s">
        <v>27</v>
      </c>
      <c r="B21" s="141" t="s">
        <v>988</v>
      </c>
      <c r="C21" s="141" t="s">
        <v>990</v>
      </c>
      <c r="D21" s="146" t="s">
        <v>358</v>
      </c>
      <c r="E21" s="141">
        <v>100</v>
      </c>
      <c r="F21" s="147">
        <f t="shared" si="1"/>
        <v>3361</v>
      </c>
      <c r="G21" s="147">
        <f t="shared" si="1"/>
        <v>3346.1699600000002</v>
      </c>
      <c r="H21" s="131">
        <f t="shared" si="0"/>
        <v>99.558761083011021</v>
      </c>
    </row>
    <row r="22" spans="1:8" ht="18.75" x14ac:dyDescent="0.2">
      <c r="A22" s="145" t="s">
        <v>8</v>
      </c>
      <c r="B22" s="141" t="s">
        <v>988</v>
      </c>
      <c r="C22" s="141" t="s">
        <v>990</v>
      </c>
      <c r="D22" s="146" t="s">
        <v>358</v>
      </c>
      <c r="E22" s="141">
        <v>120</v>
      </c>
      <c r="F22" s="147">
        <f>F23+F24</f>
        <v>3361</v>
      </c>
      <c r="G22" s="147">
        <f>G23+G24</f>
        <v>3346.1699600000002</v>
      </c>
      <c r="H22" s="131">
        <f t="shared" si="0"/>
        <v>99.558761083011021</v>
      </c>
    </row>
    <row r="23" spans="1:8" s="82" customFormat="1" ht="18.75" hidden="1" x14ac:dyDescent="0.2">
      <c r="A23" s="3" t="s">
        <v>224</v>
      </c>
      <c r="B23" s="2" t="s">
        <v>988</v>
      </c>
      <c r="C23" s="2" t="s">
        <v>990</v>
      </c>
      <c r="D23" s="4" t="s">
        <v>358</v>
      </c>
      <c r="E23" s="2" t="s">
        <v>64</v>
      </c>
      <c r="F23" s="62">
        <f>1487+150+1084+53</f>
        <v>2774</v>
      </c>
      <c r="G23" s="62">
        <v>2761.2289300000002</v>
      </c>
      <c r="H23" s="97">
        <f t="shared" si="0"/>
        <v>99.539615356885363</v>
      </c>
    </row>
    <row r="24" spans="1:8" s="82" customFormat="1" ht="47.25" hidden="1" x14ac:dyDescent="0.2">
      <c r="A24" s="3" t="s">
        <v>140</v>
      </c>
      <c r="B24" s="2" t="s">
        <v>992</v>
      </c>
      <c r="C24" s="2" t="s">
        <v>990</v>
      </c>
      <c r="D24" s="4" t="s">
        <v>358</v>
      </c>
      <c r="E24" s="2" t="s">
        <v>139</v>
      </c>
      <c r="F24" s="62">
        <f>449+46+85+7</f>
        <v>587</v>
      </c>
      <c r="G24" s="62">
        <v>584.94102999999996</v>
      </c>
      <c r="H24" s="97">
        <f t="shared" si="0"/>
        <v>99.64923850085178</v>
      </c>
    </row>
    <row r="25" spans="1:8" ht="31.5" x14ac:dyDescent="0.2">
      <c r="A25" s="132" t="s">
        <v>993</v>
      </c>
      <c r="B25" s="133" t="s">
        <v>988</v>
      </c>
      <c r="C25" s="133" t="s">
        <v>994</v>
      </c>
      <c r="D25" s="133"/>
      <c r="E25" s="133"/>
      <c r="F25" s="134">
        <f>F26</f>
        <v>16359</v>
      </c>
      <c r="G25" s="134">
        <f>G26</f>
        <v>16338.967560000003</v>
      </c>
      <c r="H25" s="131">
        <f t="shared" si="0"/>
        <v>99.877544837704036</v>
      </c>
    </row>
    <row r="26" spans="1:8" ht="31.5" x14ac:dyDescent="0.2">
      <c r="A26" s="132" t="s">
        <v>995</v>
      </c>
      <c r="B26" s="133" t="s">
        <v>992</v>
      </c>
      <c r="C26" s="133" t="s">
        <v>994</v>
      </c>
      <c r="D26" s="133" t="s">
        <v>157</v>
      </c>
      <c r="E26" s="133"/>
      <c r="F26" s="134">
        <f>F27+F31+F45+F50</f>
        <v>16359</v>
      </c>
      <c r="G26" s="134">
        <f>G27+G31+G45+G50</f>
        <v>16338.967560000003</v>
      </c>
      <c r="H26" s="131">
        <f t="shared" si="0"/>
        <v>99.877544837704036</v>
      </c>
    </row>
    <row r="27" spans="1:8" ht="18.75" x14ac:dyDescent="0.2">
      <c r="A27" s="140" t="s">
        <v>302</v>
      </c>
      <c r="B27" s="148" t="s">
        <v>992</v>
      </c>
      <c r="C27" s="148" t="s">
        <v>994</v>
      </c>
      <c r="D27" s="148" t="s">
        <v>303</v>
      </c>
      <c r="E27" s="148"/>
      <c r="F27" s="144">
        <f t="shared" ref="F27:G29" si="2">F28</f>
        <v>300</v>
      </c>
      <c r="G27" s="144">
        <f t="shared" si="2"/>
        <v>295.92</v>
      </c>
      <c r="H27" s="131">
        <f t="shared" si="0"/>
        <v>98.64</v>
      </c>
    </row>
    <row r="28" spans="1:8" ht="18.75" x14ac:dyDescent="0.2">
      <c r="A28" s="145" t="s">
        <v>871</v>
      </c>
      <c r="B28" s="141" t="s">
        <v>992</v>
      </c>
      <c r="C28" s="141" t="s">
        <v>994</v>
      </c>
      <c r="D28" s="141" t="s">
        <v>303</v>
      </c>
      <c r="E28" s="141">
        <v>200</v>
      </c>
      <c r="F28" s="147">
        <f t="shared" si="2"/>
        <v>300</v>
      </c>
      <c r="G28" s="147">
        <f t="shared" si="2"/>
        <v>295.92</v>
      </c>
      <c r="H28" s="131">
        <f t="shared" si="0"/>
        <v>98.64</v>
      </c>
    </row>
    <row r="29" spans="1:8" ht="31.5" x14ac:dyDescent="0.2">
      <c r="A29" s="145" t="s">
        <v>17</v>
      </c>
      <c r="B29" s="141" t="s">
        <v>992</v>
      </c>
      <c r="C29" s="141" t="s">
        <v>994</v>
      </c>
      <c r="D29" s="141" t="s">
        <v>303</v>
      </c>
      <c r="E29" s="141">
        <v>240</v>
      </c>
      <c r="F29" s="147">
        <f t="shared" si="2"/>
        <v>300</v>
      </c>
      <c r="G29" s="147">
        <f t="shared" si="2"/>
        <v>295.92</v>
      </c>
      <c r="H29" s="131">
        <f t="shared" si="0"/>
        <v>98.64</v>
      </c>
    </row>
    <row r="30" spans="1:8" s="82" customFormat="1" ht="18.75" hidden="1" x14ac:dyDescent="0.2">
      <c r="A30" s="3" t="s">
        <v>548</v>
      </c>
      <c r="B30" s="2" t="s">
        <v>992</v>
      </c>
      <c r="C30" s="2" t="s">
        <v>994</v>
      </c>
      <c r="D30" s="2" t="s">
        <v>303</v>
      </c>
      <c r="E30" s="2" t="s">
        <v>67</v>
      </c>
      <c r="F30" s="10">
        <f>200+100</f>
        <v>300</v>
      </c>
      <c r="G30" s="10">
        <v>295.92</v>
      </c>
      <c r="H30" s="97">
        <f t="shared" si="0"/>
        <v>98.64</v>
      </c>
    </row>
    <row r="31" spans="1:8" ht="18.75" x14ac:dyDescent="0.2">
      <c r="A31" s="140" t="s">
        <v>996</v>
      </c>
      <c r="B31" s="148" t="s">
        <v>988</v>
      </c>
      <c r="C31" s="148" t="s">
        <v>994</v>
      </c>
      <c r="D31" s="148" t="s">
        <v>158</v>
      </c>
      <c r="E31" s="149"/>
      <c r="F31" s="144">
        <f>F32+F38+F42</f>
        <v>12857</v>
      </c>
      <c r="G31" s="144">
        <f>G32+G38+G42</f>
        <v>12842.941600000002</v>
      </c>
      <c r="H31" s="131">
        <f t="shared" si="0"/>
        <v>99.89065567395194</v>
      </c>
    </row>
    <row r="32" spans="1:8" ht="47.25" x14ac:dyDescent="0.2">
      <c r="A32" s="145" t="s">
        <v>27</v>
      </c>
      <c r="B32" s="141" t="s">
        <v>988</v>
      </c>
      <c r="C32" s="141" t="s">
        <v>994</v>
      </c>
      <c r="D32" s="141" t="s">
        <v>158</v>
      </c>
      <c r="E32" s="141">
        <v>100</v>
      </c>
      <c r="F32" s="147">
        <f>F33</f>
        <v>11894</v>
      </c>
      <c r="G32" s="147">
        <f>G33</f>
        <v>11884.510270000001</v>
      </c>
      <c r="H32" s="131">
        <f t="shared" si="0"/>
        <v>99.920214141583998</v>
      </c>
    </row>
    <row r="33" spans="1:8" ht="18.75" x14ac:dyDescent="0.2">
      <c r="A33" s="145" t="s">
        <v>8</v>
      </c>
      <c r="B33" s="141" t="s">
        <v>988</v>
      </c>
      <c r="C33" s="141" t="s">
        <v>994</v>
      </c>
      <c r="D33" s="141" t="s">
        <v>158</v>
      </c>
      <c r="E33" s="141">
        <v>120</v>
      </c>
      <c r="F33" s="147">
        <f>F34+F35+F36+F37</f>
        <v>11894</v>
      </c>
      <c r="G33" s="147">
        <f>G34+G35+G36+G37</f>
        <v>11884.510270000001</v>
      </c>
      <c r="H33" s="131">
        <f t="shared" si="0"/>
        <v>99.920214141583998</v>
      </c>
    </row>
    <row r="34" spans="1:8" s="82" customFormat="1" ht="18.75" hidden="1" x14ac:dyDescent="0.2">
      <c r="A34" s="3" t="s">
        <v>224</v>
      </c>
      <c r="B34" s="2" t="s">
        <v>988</v>
      </c>
      <c r="C34" s="2" t="s">
        <v>994</v>
      </c>
      <c r="D34" s="2" t="s">
        <v>158</v>
      </c>
      <c r="E34" s="2" t="s">
        <v>64</v>
      </c>
      <c r="F34" s="36">
        <f>5867+646</f>
        <v>6513</v>
      </c>
      <c r="G34" s="36">
        <v>6740.8656600000004</v>
      </c>
      <c r="H34" s="97">
        <f t="shared" si="0"/>
        <v>103.49862828189775</v>
      </c>
    </row>
    <row r="35" spans="1:8" s="82" customFormat="1" ht="31.5" hidden="1" x14ac:dyDescent="0.2">
      <c r="A35" s="3" t="s">
        <v>65</v>
      </c>
      <c r="B35" s="2" t="s">
        <v>988</v>
      </c>
      <c r="C35" s="2" t="s">
        <v>994</v>
      </c>
      <c r="D35" s="2" t="s">
        <v>158</v>
      </c>
      <c r="E35" s="2" t="s">
        <v>66</v>
      </c>
      <c r="F35" s="36">
        <f>2800-270-243-376-134</f>
        <v>1777</v>
      </c>
      <c r="G35" s="36">
        <v>1531.0498500000001</v>
      </c>
      <c r="H35" s="97">
        <f t="shared" si="0"/>
        <v>86.159248733821045</v>
      </c>
    </row>
    <row r="36" spans="1:8" s="82" customFormat="1" ht="47.25" hidden="1" x14ac:dyDescent="0.2">
      <c r="A36" s="3" t="s">
        <v>653</v>
      </c>
      <c r="B36" s="2" t="s">
        <v>988</v>
      </c>
      <c r="C36" s="2" t="s">
        <v>994</v>
      </c>
      <c r="D36" s="2" t="s">
        <v>158</v>
      </c>
      <c r="E36" s="2" t="s">
        <v>301</v>
      </c>
      <c r="F36" s="36">
        <f>1344+36-17</f>
        <v>1363</v>
      </c>
      <c r="G36" s="36">
        <v>1375.3355899999999</v>
      </c>
      <c r="H36" s="97">
        <f t="shared" si="0"/>
        <v>100.90503228173147</v>
      </c>
    </row>
    <row r="37" spans="1:8" s="82" customFormat="1" ht="47.25" hidden="1" x14ac:dyDescent="0.2">
      <c r="A37" s="3" t="s">
        <v>140</v>
      </c>
      <c r="B37" s="2" t="s">
        <v>992</v>
      </c>
      <c r="C37" s="2" t="s">
        <v>994</v>
      </c>
      <c r="D37" s="2" t="s">
        <v>158</v>
      </c>
      <c r="E37" s="2" t="s">
        <v>139</v>
      </c>
      <c r="F37" s="36">
        <f>2322+237-258-60</f>
        <v>2241</v>
      </c>
      <c r="G37" s="36">
        <v>2237.2591699999998</v>
      </c>
      <c r="H37" s="97">
        <f t="shared" si="0"/>
        <v>99.833073181615333</v>
      </c>
    </row>
    <row r="38" spans="1:8" ht="18.75" x14ac:dyDescent="0.2">
      <c r="A38" s="145" t="s">
        <v>871</v>
      </c>
      <c r="B38" s="141" t="s">
        <v>988</v>
      </c>
      <c r="C38" s="141" t="s">
        <v>994</v>
      </c>
      <c r="D38" s="141" t="s">
        <v>158</v>
      </c>
      <c r="E38" s="141" t="s">
        <v>15</v>
      </c>
      <c r="F38" s="147">
        <f>F39</f>
        <v>959</v>
      </c>
      <c r="G38" s="147">
        <f>G39</f>
        <v>957.84032999999999</v>
      </c>
      <c r="H38" s="131">
        <f t="shared" si="0"/>
        <v>99.879075078206469</v>
      </c>
    </row>
    <row r="39" spans="1:8" ht="31.5" x14ac:dyDescent="0.2">
      <c r="A39" s="145" t="s">
        <v>17</v>
      </c>
      <c r="B39" s="141" t="s">
        <v>988</v>
      </c>
      <c r="C39" s="141" t="s">
        <v>994</v>
      </c>
      <c r="D39" s="141" t="s">
        <v>158</v>
      </c>
      <c r="E39" s="141" t="s">
        <v>16</v>
      </c>
      <c r="F39" s="147">
        <f>F40+F41</f>
        <v>959</v>
      </c>
      <c r="G39" s="147">
        <f>G40+G41</f>
        <v>957.84032999999999</v>
      </c>
      <c r="H39" s="131">
        <f t="shared" si="0"/>
        <v>99.879075078206469</v>
      </c>
    </row>
    <row r="40" spans="1:8" s="82" customFormat="1" ht="31.5" hidden="1" x14ac:dyDescent="0.2">
      <c r="A40" s="28" t="s">
        <v>367</v>
      </c>
      <c r="B40" s="2" t="s">
        <v>988</v>
      </c>
      <c r="C40" s="2" t="s">
        <v>994</v>
      </c>
      <c r="D40" s="2" t="s">
        <v>158</v>
      </c>
      <c r="E40" s="2" t="s">
        <v>368</v>
      </c>
      <c r="F40" s="62">
        <f>445+130+191-70-75</f>
        <v>621</v>
      </c>
      <c r="G40" s="62">
        <v>620.62919999999997</v>
      </c>
      <c r="H40" s="97">
        <f t="shared" si="0"/>
        <v>99.940289855072464</v>
      </c>
    </row>
    <row r="41" spans="1:8" s="82" customFormat="1" ht="18.75" hidden="1" x14ac:dyDescent="0.2">
      <c r="A41" s="3" t="s">
        <v>548</v>
      </c>
      <c r="B41" s="2" t="s">
        <v>988</v>
      </c>
      <c r="C41" s="2" t="s">
        <v>994</v>
      </c>
      <c r="D41" s="2" t="s">
        <v>158</v>
      </c>
      <c r="E41" s="2" t="s">
        <v>67</v>
      </c>
      <c r="F41" s="36">
        <f>432+90-60-27-97</f>
        <v>338</v>
      </c>
      <c r="G41" s="36">
        <v>337.21113000000003</v>
      </c>
      <c r="H41" s="97">
        <f t="shared" si="0"/>
        <v>99.766606508875739</v>
      </c>
    </row>
    <row r="42" spans="1:8" ht="18.75" x14ac:dyDescent="0.2">
      <c r="A42" s="150" t="s">
        <v>13</v>
      </c>
      <c r="B42" s="151" t="s">
        <v>988</v>
      </c>
      <c r="C42" s="151" t="s">
        <v>994</v>
      </c>
      <c r="D42" s="141" t="s">
        <v>158</v>
      </c>
      <c r="E42" s="151" t="s">
        <v>14</v>
      </c>
      <c r="F42" s="152">
        <f t="shared" ref="F42:G43" si="3">F43</f>
        <v>4</v>
      </c>
      <c r="G42" s="147">
        <f t="shared" si="3"/>
        <v>0.59099999999999997</v>
      </c>
      <c r="H42" s="131">
        <f t="shared" si="0"/>
        <v>14.774999999999999</v>
      </c>
    </row>
    <row r="43" spans="1:8" ht="18.75" x14ac:dyDescent="0.2">
      <c r="A43" s="150" t="s">
        <v>32</v>
      </c>
      <c r="B43" s="151" t="s">
        <v>988</v>
      </c>
      <c r="C43" s="151" t="s">
        <v>994</v>
      </c>
      <c r="D43" s="141" t="s">
        <v>158</v>
      </c>
      <c r="E43" s="151" t="s">
        <v>31</v>
      </c>
      <c r="F43" s="152">
        <f t="shared" si="3"/>
        <v>4</v>
      </c>
      <c r="G43" s="147">
        <f t="shared" si="3"/>
        <v>0.59099999999999997</v>
      </c>
      <c r="H43" s="131">
        <f t="shared" si="0"/>
        <v>14.774999999999999</v>
      </c>
    </row>
    <row r="44" spans="1:8" s="82" customFormat="1" ht="18.75" hidden="1" x14ac:dyDescent="0.2">
      <c r="A44" s="3" t="s">
        <v>68</v>
      </c>
      <c r="B44" s="5" t="s">
        <v>988</v>
      </c>
      <c r="C44" s="5" t="s">
        <v>994</v>
      </c>
      <c r="D44" s="2" t="s">
        <v>158</v>
      </c>
      <c r="E44" s="5" t="s">
        <v>69</v>
      </c>
      <c r="F44" s="62">
        <f>40-36</f>
        <v>4</v>
      </c>
      <c r="G44" s="62">
        <v>0.59099999999999997</v>
      </c>
      <c r="H44" s="97">
        <f t="shared" si="0"/>
        <v>14.774999999999999</v>
      </c>
    </row>
    <row r="45" spans="1:8" ht="18.75" x14ac:dyDescent="0.2">
      <c r="A45" s="140" t="s">
        <v>997</v>
      </c>
      <c r="B45" s="148" t="s">
        <v>988</v>
      </c>
      <c r="C45" s="148" t="s">
        <v>994</v>
      </c>
      <c r="D45" s="148" t="s">
        <v>160</v>
      </c>
      <c r="E45" s="149"/>
      <c r="F45" s="144">
        <f t="shared" ref="F45:G46" si="4">F46</f>
        <v>1720</v>
      </c>
      <c r="G45" s="144">
        <f t="shared" si="4"/>
        <v>1719.2774899999999</v>
      </c>
      <c r="H45" s="131">
        <f t="shared" si="0"/>
        <v>99.957993604651165</v>
      </c>
    </row>
    <row r="46" spans="1:8" ht="47.25" x14ac:dyDescent="0.2">
      <c r="A46" s="145" t="s">
        <v>27</v>
      </c>
      <c r="B46" s="141" t="s">
        <v>988</v>
      </c>
      <c r="C46" s="141" t="s">
        <v>994</v>
      </c>
      <c r="D46" s="141" t="s">
        <v>160</v>
      </c>
      <c r="E46" s="141">
        <v>100</v>
      </c>
      <c r="F46" s="147">
        <f t="shared" si="4"/>
        <v>1720</v>
      </c>
      <c r="G46" s="147">
        <f t="shared" si="4"/>
        <v>1719.2774899999999</v>
      </c>
      <c r="H46" s="131">
        <f t="shared" si="0"/>
        <v>99.957993604651165</v>
      </c>
    </row>
    <row r="47" spans="1:8" ht="18.75" x14ac:dyDescent="0.2">
      <c r="A47" s="145" t="s">
        <v>8</v>
      </c>
      <c r="B47" s="141" t="s">
        <v>988</v>
      </c>
      <c r="C47" s="141" t="s">
        <v>994</v>
      </c>
      <c r="D47" s="141" t="s">
        <v>160</v>
      </c>
      <c r="E47" s="141">
        <v>120</v>
      </c>
      <c r="F47" s="147">
        <f>F48+F49</f>
        <v>1720</v>
      </c>
      <c r="G47" s="147">
        <f>G48+G49</f>
        <v>1719.2774899999999</v>
      </c>
      <c r="H47" s="131">
        <f t="shared" si="0"/>
        <v>99.957993604651165</v>
      </c>
    </row>
    <row r="48" spans="1:8" s="82" customFormat="1" ht="18.75" hidden="1" x14ac:dyDescent="0.2">
      <c r="A48" s="3" t="s">
        <v>224</v>
      </c>
      <c r="B48" s="2" t="s">
        <v>988</v>
      </c>
      <c r="C48" s="2" t="s">
        <v>994</v>
      </c>
      <c r="D48" s="2" t="s">
        <v>160</v>
      </c>
      <c r="E48" s="2" t="s">
        <v>64</v>
      </c>
      <c r="F48" s="62">
        <f>1104+115+130</f>
        <v>1349</v>
      </c>
      <c r="G48" s="62">
        <v>1354.9922300000001</v>
      </c>
      <c r="H48" s="97">
        <f t="shared" si="0"/>
        <v>100.44419792438843</v>
      </c>
    </row>
    <row r="49" spans="1:8" s="82" customFormat="1" ht="47.25" hidden="1" x14ac:dyDescent="0.2">
      <c r="A49" s="3" t="s">
        <v>140</v>
      </c>
      <c r="B49" s="2" t="s">
        <v>992</v>
      </c>
      <c r="C49" s="2" t="s">
        <v>994</v>
      </c>
      <c r="D49" s="2" t="s">
        <v>160</v>
      </c>
      <c r="E49" s="2" t="s">
        <v>139</v>
      </c>
      <c r="F49" s="62">
        <f>339+29+33-30</f>
        <v>371</v>
      </c>
      <c r="G49" s="62">
        <v>364.28525999999999</v>
      </c>
      <c r="H49" s="97">
        <f t="shared" si="0"/>
        <v>98.190097035040424</v>
      </c>
    </row>
    <row r="50" spans="1:8" ht="18.75" x14ac:dyDescent="0.2">
      <c r="A50" s="153" t="s">
        <v>770</v>
      </c>
      <c r="B50" s="148" t="s">
        <v>988</v>
      </c>
      <c r="C50" s="148" t="s">
        <v>994</v>
      </c>
      <c r="D50" s="148" t="s">
        <v>769</v>
      </c>
      <c r="E50" s="149"/>
      <c r="F50" s="144">
        <f t="shared" ref="F50:G51" si="5">F51</f>
        <v>1482</v>
      </c>
      <c r="G50" s="144">
        <f t="shared" si="5"/>
        <v>1480.8284699999999</v>
      </c>
      <c r="H50" s="131">
        <f t="shared" si="0"/>
        <v>99.920949392712544</v>
      </c>
    </row>
    <row r="51" spans="1:8" ht="47.25" x14ac:dyDescent="0.2">
      <c r="A51" s="145" t="s">
        <v>27</v>
      </c>
      <c r="B51" s="141" t="s">
        <v>988</v>
      </c>
      <c r="C51" s="141" t="s">
        <v>994</v>
      </c>
      <c r="D51" s="141" t="s">
        <v>769</v>
      </c>
      <c r="E51" s="141">
        <v>100</v>
      </c>
      <c r="F51" s="147">
        <f t="shared" si="5"/>
        <v>1482</v>
      </c>
      <c r="G51" s="147">
        <f t="shared" si="5"/>
        <v>1480.8284699999999</v>
      </c>
      <c r="H51" s="131">
        <f t="shared" si="0"/>
        <v>99.920949392712544</v>
      </c>
    </row>
    <row r="52" spans="1:8" ht="18.75" x14ac:dyDescent="0.2">
      <c r="A52" s="145" t="s">
        <v>8</v>
      </c>
      <c r="B52" s="141" t="s">
        <v>988</v>
      </c>
      <c r="C52" s="141" t="s">
        <v>994</v>
      </c>
      <c r="D52" s="141" t="s">
        <v>769</v>
      </c>
      <c r="E52" s="141">
        <v>120</v>
      </c>
      <c r="F52" s="147">
        <f>F53+F54</f>
        <v>1482</v>
      </c>
      <c r="G52" s="147">
        <f>G53+G54</f>
        <v>1480.8284699999999</v>
      </c>
      <c r="H52" s="131">
        <f t="shared" si="0"/>
        <v>99.920949392712544</v>
      </c>
    </row>
    <row r="53" spans="1:8" s="82" customFormat="1" ht="18.75" hidden="1" x14ac:dyDescent="0.2">
      <c r="A53" s="3" t="s">
        <v>224</v>
      </c>
      <c r="B53" s="2" t="s">
        <v>988</v>
      </c>
      <c r="C53" s="2" t="s">
        <v>994</v>
      </c>
      <c r="D53" s="2" t="s">
        <v>769</v>
      </c>
      <c r="E53" s="2" t="s">
        <v>64</v>
      </c>
      <c r="F53" s="62">
        <f>995+105+60-11</f>
        <v>1149</v>
      </c>
      <c r="G53" s="62">
        <v>1148.02241</v>
      </c>
      <c r="H53" s="97">
        <f t="shared" si="0"/>
        <v>99.914918189730201</v>
      </c>
    </row>
    <row r="54" spans="1:8" s="82" customFormat="1" ht="47.25" hidden="1" x14ac:dyDescent="0.2">
      <c r="A54" s="3" t="s">
        <v>140</v>
      </c>
      <c r="B54" s="2" t="s">
        <v>992</v>
      </c>
      <c r="C54" s="2" t="s">
        <v>994</v>
      </c>
      <c r="D54" s="2" t="s">
        <v>769</v>
      </c>
      <c r="E54" s="2" t="s">
        <v>139</v>
      </c>
      <c r="F54" s="62">
        <f>307+26+20-20</f>
        <v>333</v>
      </c>
      <c r="G54" s="62">
        <v>332.80606</v>
      </c>
      <c r="H54" s="97">
        <f t="shared" si="0"/>
        <v>99.941759759759762</v>
      </c>
    </row>
    <row r="55" spans="1:8" ht="18.75" x14ac:dyDescent="0.2">
      <c r="A55" s="132" t="s">
        <v>998</v>
      </c>
      <c r="B55" s="133" t="s">
        <v>988</v>
      </c>
      <c r="C55" s="133" t="s">
        <v>999</v>
      </c>
      <c r="D55" s="133"/>
      <c r="E55" s="133"/>
      <c r="F55" s="134">
        <f>F56+F69+F78+F155+F162+F180+F185</f>
        <v>436070.88199999998</v>
      </c>
      <c r="G55" s="134">
        <f>G56+G69+G78+G155+G162+G180+G185</f>
        <v>429355.30176</v>
      </c>
      <c r="H55" s="131">
        <f t="shared" si="0"/>
        <v>98.459979669085087</v>
      </c>
    </row>
    <row r="56" spans="1:8" ht="18.75" x14ac:dyDescent="0.2">
      <c r="A56" s="132" t="s">
        <v>1000</v>
      </c>
      <c r="B56" s="133" t="s">
        <v>992</v>
      </c>
      <c r="C56" s="133" t="s">
        <v>999</v>
      </c>
      <c r="D56" s="133" t="s">
        <v>214</v>
      </c>
      <c r="E56" s="133"/>
      <c r="F56" s="134">
        <f t="shared" ref="F56:G58" si="6">F57</f>
        <v>12412</v>
      </c>
      <c r="G56" s="134">
        <f t="shared" si="6"/>
        <v>12090.318940000001</v>
      </c>
      <c r="H56" s="131">
        <f t="shared" si="0"/>
        <v>97.408305994199168</v>
      </c>
    </row>
    <row r="57" spans="1:8" ht="18.75" x14ac:dyDescent="0.2">
      <c r="A57" s="135" t="s">
        <v>94</v>
      </c>
      <c r="B57" s="136" t="s">
        <v>992</v>
      </c>
      <c r="C57" s="136" t="s">
        <v>999</v>
      </c>
      <c r="D57" s="137" t="s">
        <v>250</v>
      </c>
      <c r="E57" s="136"/>
      <c r="F57" s="138">
        <f t="shared" si="6"/>
        <v>12412</v>
      </c>
      <c r="G57" s="138">
        <f t="shared" si="6"/>
        <v>12090.318940000001</v>
      </c>
      <c r="H57" s="131">
        <f t="shared" si="0"/>
        <v>97.408305994199168</v>
      </c>
    </row>
    <row r="58" spans="1:8" ht="63" x14ac:dyDescent="0.2">
      <c r="A58" s="154" t="s">
        <v>664</v>
      </c>
      <c r="B58" s="133" t="s">
        <v>992</v>
      </c>
      <c r="C58" s="133" t="s">
        <v>999</v>
      </c>
      <c r="D58" s="139" t="s">
        <v>225</v>
      </c>
      <c r="E58" s="136"/>
      <c r="F58" s="138">
        <f t="shared" si="6"/>
        <v>12412</v>
      </c>
      <c r="G58" s="138">
        <f t="shared" si="6"/>
        <v>12090.318940000001</v>
      </c>
      <c r="H58" s="131">
        <f t="shared" si="0"/>
        <v>97.408305994199168</v>
      </c>
    </row>
    <row r="59" spans="1:8" ht="47.25" x14ac:dyDescent="0.2">
      <c r="A59" s="155" t="s">
        <v>596</v>
      </c>
      <c r="B59" s="148" t="s">
        <v>988</v>
      </c>
      <c r="C59" s="148" t="s">
        <v>999</v>
      </c>
      <c r="D59" s="142" t="s">
        <v>559</v>
      </c>
      <c r="E59" s="148"/>
      <c r="F59" s="156">
        <f>F60+F65</f>
        <v>12412</v>
      </c>
      <c r="G59" s="156">
        <f t="shared" ref="G59" si="7">G60+G65</f>
        <v>12090.318940000001</v>
      </c>
      <c r="H59" s="131">
        <f t="shared" si="0"/>
        <v>97.408305994199168</v>
      </c>
    </row>
    <row r="60" spans="1:8" ht="47.25" x14ac:dyDescent="0.2">
      <c r="A60" s="157" t="s">
        <v>27</v>
      </c>
      <c r="B60" s="141" t="s">
        <v>988</v>
      </c>
      <c r="C60" s="141" t="s">
        <v>999</v>
      </c>
      <c r="D60" s="141" t="s">
        <v>559</v>
      </c>
      <c r="E60" s="141" t="s">
        <v>28</v>
      </c>
      <c r="F60" s="158">
        <f t="shared" ref="F60:G60" si="8">F61</f>
        <v>12258.579</v>
      </c>
      <c r="G60" s="158">
        <f t="shared" si="8"/>
        <v>11821.50554</v>
      </c>
      <c r="H60" s="131">
        <f t="shared" si="0"/>
        <v>96.434550366726839</v>
      </c>
    </row>
    <row r="61" spans="1:8" ht="18.75" x14ac:dyDescent="0.2">
      <c r="A61" s="157" t="s">
        <v>8</v>
      </c>
      <c r="B61" s="141" t="s">
        <v>988</v>
      </c>
      <c r="C61" s="141" t="s">
        <v>999</v>
      </c>
      <c r="D61" s="141" t="s">
        <v>559</v>
      </c>
      <c r="E61" s="141" t="s">
        <v>56</v>
      </c>
      <c r="F61" s="158">
        <f>F62+F63+F64</f>
        <v>12258.579</v>
      </c>
      <c r="G61" s="158">
        <f t="shared" ref="G61" si="9">G62+G63+G64</f>
        <v>11821.50554</v>
      </c>
      <c r="H61" s="131">
        <f t="shared" si="0"/>
        <v>96.434550366726839</v>
      </c>
    </row>
    <row r="62" spans="1:8" s="82" customFormat="1" ht="18.75" hidden="1" x14ac:dyDescent="0.2">
      <c r="A62" s="3" t="s">
        <v>244</v>
      </c>
      <c r="B62" s="2" t="s">
        <v>988</v>
      </c>
      <c r="C62" s="2" t="s">
        <v>999</v>
      </c>
      <c r="D62" s="2" t="s">
        <v>559</v>
      </c>
      <c r="E62" s="2" t="s">
        <v>64</v>
      </c>
      <c r="F62" s="14">
        <f>6307.75+1055.05</f>
        <v>7362.8</v>
      </c>
      <c r="G62" s="14">
        <v>6946.9626699999999</v>
      </c>
      <c r="H62" s="97">
        <f t="shared" si="0"/>
        <v>94.352184902482747</v>
      </c>
    </row>
    <row r="63" spans="1:8" s="82" customFormat="1" ht="31.5" hidden="1" x14ac:dyDescent="0.2">
      <c r="A63" s="3" t="s">
        <v>65</v>
      </c>
      <c r="B63" s="2" t="s">
        <v>988</v>
      </c>
      <c r="C63" s="2" t="s">
        <v>999</v>
      </c>
      <c r="D63" s="2" t="s">
        <v>559</v>
      </c>
      <c r="E63" s="2" t="s">
        <v>66</v>
      </c>
      <c r="F63" s="14">
        <f>1940.25+194.029</f>
        <v>2134.279</v>
      </c>
      <c r="G63" s="14">
        <v>2134.279</v>
      </c>
      <c r="H63" s="97">
        <f t="shared" si="0"/>
        <v>100</v>
      </c>
    </row>
    <row r="64" spans="1:8" s="82" customFormat="1" ht="47.25" hidden="1" x14ac:dyDescent="0.2">
      <c r="A64" s="3" t="s">
        <v>140</v>
      </c>
      <c r="B64" s="2" t="s">
        <v>988</v>
      </c>
      <c r="C64" s="2" t="s">
        <v>999</v>
      </c>
      <c r="D64" s="2" t="s">
        <v>559</v>
      </c>
      <c r="E64" s="2" t="s">
        <v>139</v>
      </c>
      <c r="F64" s="14">
        <f>2393+368.5</f>
        <v>2761.5</v>
      </c>
      <c r="G64" s="14">
        <v>2740.2638700000002</v>
      </c>
      <c r="H64" s="97">
        <f t="shared" si="0"/>
        <v>99.230992938620318</v>
      </c>
    </row>
    <row r="65" spans="1:8" ht="18.75" x14ac:dyDescent="0.2">
      <c r="A65" s="145" t="s">
        <v>871</v>
      </c>
      <c r="B65" s="141" t="s">
        <v>988</v>
      </c>
      <c r="C65" s="141" t="s">
        <v>999</v>
      </c>
      <c r="D65" s="141" t="s">
        <v>559</v>
      </c>
      <c r="E65" s="141" t="s">
        <v>15</v>
      </c>
      <c r="F65" s="158">
        <f>F66</f>
        <v>153.42099999999999</v>
      </c>
      <c r="G65" s="158">
        <f>G66</f>
        <v>268.8134</v>
      </c>
      <c r="H65" s="131">
        <f t="shared" si="0"/>
        <v>175.21291087921472</v>
      </c>
    </row>
    <row r="66" spans="1:8" ht="31.5" x14ac:dyDescent="0.2">
      <c r="A66" s="145" t="s">
        <v>17</v>
      </c>
      <c r="B66" s="141" t="s">
        <v>988</v>
      </c>
      <c r="C66" s="141" t="s">
        <v>999</v>
      </c>
      <c r="D66" s="141" t="s">
        <v>559</v>
      </c>
      <c r="E66" s="141" t="s">
        <v>16</v>
      </c>
      <c r="F66" s="158">
        <f>F67</f>
        <v>153.42099999999999</v>
      </c>
      <c r="G66" s="158">
        <f>G67+G68</f>
        <v>268.8134</v>
      </c>
      <c r="H66" s="131">
        <f t="shared" si="0"/>
        <v>175.21291087921472</v>
      </c>
    </row>
    <row r="67" spans="1:8" s="82" customFormat="1" ht="31.5" hidden="1" x14ac:dyDescent="0.2">
      <c r="A67" s="28" t="s">
        <v>367</v>
      </c>
      <c r="B67" s="2" t="s">
        <v>988</v>
      </c>
      <c r="C67" s="2" t="s">
        <v>999</v>
      </c>
      <c r="D67" s="2" t="s">
        <v>559</v>
      </c>
      <c r="E67" s="2" t="s">
        <v>368</v>
      </c>
      <c r="F67" s="14">
        <v>153.42099999999999</v>
      </c>
      <c r="G67" s="14">
        <v>150</v>
      </c>
      <c r="H67" s="97">
        <f t="shared" si="0"/>
        <v>97.770187914301175</v>
      </c>
    </row>
    <row r="68" spans="1:8" s="82" customFormat="1" ht="18.75" hidden="1" x14ac:dyDescent="0.2">
      <c r="A68" s="3" t="s">
        <v>548</v>
      </c>
      <c r="B68" s="2" t="s">
        <v>992</v>
      </c>
      <c r="C68" s="2" t="s">
        <v>999</v>
      </c>
      <c r="D68" s="2" t="s">
        <v>559</v>
      </c>
      <c r="E68" s="2" t="s">
        <v>67</v>
      </c>
      <c r="F68" s="14"/>
      <c r="G68" s="14">
        <v>118.8134</v>
      </c>
      <c r="H68" s="97"/>
    </row>
    <row r="69" spans="1:8" ht="31.5" x14ac:dyDescent="0.2">
      <c r="A69" s="132" t="s">
        <v>889</v>
      </c>
      <c r="B69" s="133" t="s">
        <v>992</v>
      </c>
      <c r="C69" s="133" t="s">
        <v>999</v>
      </c>
      <c r="D69" s="133" t="s">
        <v>178</v>
      </c>
      <c r="E69" s="133"/>
      <c r="F69" s="134">
        <f>F71</f>
        <v>3171</v>
      </c>
      <c r="G69" s="134">
        <f>G71</f>
        <v>3171</v>
      </c>
      <c r="H69" s="131">
        <f t="shared" si="0"/>
        <v>100</v>
      </c>
    </row>
    <row r="70" spans="1:8" ht="18.75" x14ac:dyDescent="0.2">
      <c r="A70" s="135" t="s">
        <v>433</v>
      </c>
      <c r="B70" s="136" t="s">
        <v>992</v>
      </c>
      <c r="C70" s="136" t="s">
        <v>999</v>
      </c>
      <c r="D70" s="137" t="s">
        <v>311</v>
      </c>
      <c r="E70" s="136"/>
      <c r="F70" s="138">
        <f t="shared" ref="F70:G73" si="10">F71</f>
        <v>3171</v>
      </c>
      <c r="G70" s="138">
        <f t="shared" si="10"/>
        <v>3171</v>
      </c>
      <c r="H70" s="131">
        <f t="shared" si="0"/>
        <v>100</v>
      </c>
    </row>
    <row r="71" spans="1:8" ht="47.25" x14ac:dyDescent="0.2">
      <c r="A71" s="132" t="s">
        <v>1001</v>
      </c>
      <c r="B71" s="133" t="s">
        <v>992</v>
      </c>
      <c r="C71" s="133" t="s">
        <v>999</v>
      </c>
      <c r="D71" s="139" t="s">
        <v>325</v>
      </c>
      <c r="E71" s="136"/>
      <c r="F71" s="134">
        <f t="shared" si="10"/>
        <v>3171</v>
      </c>
      <c r="G71" s="134">
        <f t="shared" si="10"/>
        <v>3171</v>
      </c>
      <c r="H71" s="131">
        <f t="shared" si="0"/>
        <v>100</v>
      </c>
    </row>
    <row r="72" spans="1:8" ht="31.5" x14ac:dyDescent="0.2">
      <c r="A72" s="140" t="s">
        <v>5</v>
      </c>
      <c r="B72" s="148" t="s">
        <v>988</v>
      </c>
      <c r="C72" s="148" t="s">
        <v>999</v>
      </c>
      <c r="D72" s="142" t="s">
        <v>328</v>
      </c>
      <c r="E72" s="149"/>
      <c r="F72" s="144">
        <f t="shared" si="10"/>
        <v>3171</v>
      </c>
      <c r="G72" s="144">
        <f t="shared" si="10"/>
        <v>3171</v>
      </c>
      <c r="H72" s="131">
        <f t="shared" si="0"/>
        <v>100</v>
      </c>
    </row>
    <row r="73" spans="1:8" ht="47.25" x14ac:dyDescent="0.2">
      <c r="A73" s="157" t="s">
        <v>27</v>
      </c>
      <c r="B73" s="141" t="s">
        <v>988</v>
      </c>
      <c r="C73" s="141" t="s">
        <v>999</v>
      </c>
      <c r="D73" s="146" t="s">
        <v>328</v>
      </c>
      <c r="E73" s="159">
        <v>100</v>
      </c>
      <c r="F73" s="147">
        <f t="shared" si="10"/>
        <v>3171</v>
      </c>
      <c r="G73" s="147">
        <f t="shared" si="10"/>
        <v>3171</v>
      </c>
      <c r="H73" s="131">
        <f t="shared" si="0"/>
        <v>100</v>
      </c>
    </row>
    <row r="74" spans="1:8" ht="18.75" x14ac:dyDescent="0.2">
      <c r="A74" s="157" t="s">
        <v>8</v>
      </c>
      <c r="B74" s="141" t="s">
        <v>988</v>
      </c>
      <c r="C74" s="141" t="s">
        <v>999</v>
      </c>
      <c r="D74" s="146" t="s">
        <v>328</v>
      </c>
      <c r="E74" s="159">
        <v>120</v>
      </c>
      <c r="F74" s="147">
        <f>SUM(F75:F77)</f>
        <v>3171</v>
      </c>
      <c r="G74" s="147">
        <f>SUM(G75:G77)</f>
        <v>3171</v>
      </c>
      <c r="H74" s="131">
        <f t="shared" si="0"/>
        <v>100</v>
      </c>
    </row>
    <row r="75" spans="1:8" s="82" customFormat="1" ht="18.75" hidden="1" x14ac:dyDescent="0.2">
      <c r="A75" s="28" t="s">
        <v>224</v>
      </c>
      <c r="B75" s="2" t="s">
        <v>988</v>
      </c>
      <c r="C75" s="2" t="s">
        <v>999</v>
      </c>
      <c r="D75" s="4" t="s">
        <v>328</v>
      </c>
      <c r="E75" s="9">
        <v>121</v>
      </c>
      <c r="F75" s="10">
        <f>1517+94+148</f>
        <v>1759</v>
      </c>
      <c r="G75" s="10">
        <v>1759</v>
      </c>
      <c r="H75" s="97">
        <f t="shared" si="0"/>
        <v>100</v>
      </c>
    </row>
    <row r="76" spans="1:8" s="82" customFormat="1" ht="31.5" hidden="1" x14ac:dyDescent="0.2">
      <c r="A76" s="3" t="s">
        <v>65</v>
      </c>
      <c r="B76" s="2" t="s">
        <v>988</v>
      </c>
      <c r="C76" s="2" t="s">
        <v>999</v>
      </c>
      <c r="D76" s="4" t="s">
        <v>328</v>
      </c>
      <c r="E76" s="9">
        <v>122</v>
      </c>
      <c r="F76" s="10">
        <f>620.094+62.011</f>
        <v>682.10500000000002</v>
      </c>
      <c r="G76" s="10">
        <v>682.10500000000002</v>
      </c>
      <c r="H76" s="97">
        <f t="shared" si="0"/>
        <v>100</v>
      </c>
    </row>
    <row r="77" spans="1:8" s="82" customFormat="1" ht="47.25" hidden="1" x14ac:dyDescent="0.2">
      <c r="A77" s="3" t="s">
        <v>140</v>
      </c>
      <c r="B77" s="2" t="s">
        <v>988</v>
      </c>
      <c r="C77" s="2" t="s">
        <v>999</v>
      </c>
      <c r="D77" s="4" t="s">
        <v>328</v>
      </c>
      <c r="E77" s="9">
        <v>129</v>
      </c>
      <c r="F77" s="10">
        <f>639.906+44.989+45</f>
        <v>729.89499999999998</v>
      </c>
      <c r="G77" s="10">
        <v>729.89499999999998</v>
      </c>
      <c r="H77" s="97">
        <f t="shared" si="0"/>
        <v>100</v>
      </c>
    </row>
    <row r="78" spans="1:8" ht="31.5" x14ac:dyDescent="0.2">
      <c r="A78" s="132" t="s">
        <v>991</v>
      </c>
      <c r="B78" s="133" t="s">
        <v>988</v>
      </c>
      <c r="C78" s="133" t="s">
        <v>999</v>
      </c>
      <c r="D78" s="133" t="s">
        <v>156</v>
      </c>
      <c r="E78" s="133"/>
      <c r="F78" s="134">
        <f>F79+F90</f>
        <v>401729.68199999997</v>
      </c>
      <c r="G78" s="134">
        <f>G79+G90</f>
        <v>395522.83026999998</v>
      </c>
      <c r="H78" s="131">
        <f t="shared" si="0"/>
        <v>98.454968102157807</v>
      </c>
    </row>
    <row r="79" spans="1:8" ht="18.75" x14ac:dyDescent="0.2">
      <c r="A79" s="135" t="s">
        <v>76</v>
      </c>
      <c r="B79" s="136" t="s">
        <v>992</v>
      </c>
      <c r="C79" s="136" t="s">
        <v>999</v>
      </c>
      <c r="D79" s="137" t="s">
        <v>134</v>
      </c>
      <c r="E79" s="136"/>
      <c r="F79" s="138">
        <f>F80</f>
        <v>5886.0000000000009</v>
      </c>
      <c r="G79" s="138">
        <f>G80</f>
        <v>5886</v>
      </c>
      <c r="H79" s="131">
        <f t="shared" si="0"/>
        <v>99.999999999999986</v>
      </c>
    </row>
    <row r="80" spans="1:8" ht="47.25" x14ac:dyDescent="0.2">
      <c r="A80" s="132" t="s">
        <v>1002</v>
      </c>
      <c r="B80" s="133" t="s">
        <v>992</v>
      </c>
      <c r="C80" s="133" t="s">
        <v>999</v>
      </c>
      <c r="D80" s="139" t="s">
        <v>344</v>
      </c>
      <c r="E80" s="136"/>
      <c r="F80" s="134">
        <f>F81</f>
        <v>5886.0000000000009</v>
      </c>
      <c r="G80" s="134">
        <f>G81</f>
        <v>5886</v>
      </c>
      <c r="H80" s="131">
        <f t="shared" si="0"/>
        <v>99.999999999999986</v>
      </c>
    </row>
    <row r="81" spans="1:8" ht="63" x14ac:dyDescent="0.2">
      <c r="A81" s="140" t="s">
        <v>3</v>
      </c>
      <c r="B81" s="148" t="s">
        <v>992</v>
      </c>
      <c r="C81" s="148" t="s">
        <v>999</v>
      </c>
      <c r="D81" s="148" t="s">
        <v>346</v>
      </c>
      <c r="E81" s="148"/>
      <c r="F81" s="144">
        <f>F82+F87</f>
        <v>5886.0000000000009</v>
      </c>
      <c r="G81" s="144">
        <f t="shared" ref="G81" si="11">G82+G87</f>
        <v>5886</v>
      </c>
      <c r="H81" s="131">
        <f t="shared" ref="H81:H138" si="12">G81/F81*100</f>
        <v>99.999999999999986</v>
      </c>
    </row>
    <row r="82" spans="1:8" ht="47.25" x14ac:dyDescent="0.2">
      <c r="A82" s="150" t="s">
        <v>27</v>
      </c>
      <c r="B82" s="151" t="s">
        <v>992</v>
      </c>
      <c r="C82" s="141" t="s">
        <v>999</v>
      </c>
      <c r="D82" s="141" t="s">
        <v>346</v>
      </c>
      <c r="E82" s="141" t="s">
        <v>28</v>
      </c>
      <c r="F82" s="147">
        <f t="shared" ref="F82:G82" si="13">F83</f>
        <v>5737.2000000000007</v>
      </c>
      <c r="G82" s="147">
        <f t="shared" si="13"/>
        <v>5737.2</v>
      </c>
      <c r="H82" s="131">
        <f t="shared" si="12"/>
        <v>99.999999999999986</v>
      </c>
    </row>
    <row r="83" spans="1:8" ht="18.75" x14ac:dyDescent="0.2">
      <c r="A83" s="150" t="s">
        <v>8</v>
      </c>
      <c r="B83" s="151" t="s">
        <v>992</v>
      </c>
      <c r="C83" s="141" t="s">
        <v>999</v>
      </c>
      <c r="D83" s="141" t="s">
        <v>346</v>
      </c>
      <c r="E83" s="141" t="s">
        <v>56</v>
      </c>
      <c r="F83" s="147">
        <f>F84+F85+F86</f>
        <v>5737.2000000000007</v>
      </c>
      <c r="G83" s="147">
        <f>G84+G85+G86</f>
        <v>5737.2</v>
      </c>
      <c r="H83" s="131">
        <f t="shared" si="12"/>
        <v>99.999999999999986</v>
      </c>
    </row>
    <row r="84" spans="1:8" s="82" customFormat="1" ht="18.75" hidden="1" x14ac:dyDescent="0.2">
      <c r="A84" s="28" t="s">
        <v>224</v>
      </c>
      <c r="B84" s="5" t="s">
        <v>992</v>
      </c>
      <c r="C84" s="2" t="s">
        <v>999</v>
      </c>
      <c r="D84" s="2" t="s">
        <v>346</v>
      </c>
      <c r="E84" s="2" t="s">
        <v>64</v>
      </c>
      <c r="F84" s="62">
        <f>2872+410+156.492+33.2</f>
        <v>3471.692</v>
      </c>
      <c r="G84" s="62">
        <v>3476.8043499999999</v>
      </c>
      <c r="H84" s="97">
        <f t="shared" si="12"/>
        <v>100.14725816691113</v>
      </c>
    </row>
    <row r="85" spans="1:8" s="82" customFormat="1" ht="31.5" hidden="1" x14ac:dyDescent="0.2">
      <c r="A85" s="3" t="s">
        <v>65</v>
      </c>
      <c r="B85" s="5" t="s">
        <v>992</v>
      </c>
      <c r="C85" s="2" t="s">
        <v>999</v>
      </c>
      <c r="D85" s="2" t="s">
        <v>346</v>
      </c>
      <c r="E85" s="2" t="s">
        <v>66</v>
      </c>
      <c r="F85" s="62">
        <f>1280.172-330.492</f>
        <v>949.68000000000006</v>
      </c>
      <c r="G85" s="62">
        <v>949.68</v>
      </c>
      <c r="H85" s="97">
        <f t="shared" si="12"/>
        <v>99.999999999999986</v>
      </c>
    </row>
    <row r="86" spans="1:8" s="82" customFormat="1" ht="47.25" hidden="1" x14ac:dyDescent="0.2">
      <c r="A86" s="3" t="s">
        <v>140</v>
      </c>
      <c r="B86" s="2" t="s">
        <v>992</v>
      </c>
      <c r="C86" s="2" t="s">
        <v>999</v>
      </c>
      <c r="D86" s="2" t="s">
        <v>346</v>
      </c>
      <c r="E86" s="2" t="s">
        <v>139</v>
      </c>
      <c r="F86" s="62">
        <f>1245.828-30+78+22</f>
        <v>1315.828</v>
      </c>
      <c r="G86" s="62">
        <v>1310.7156500000001</v>
      </c>
      <c r="H86" s="97">
        <f t="shared" si="12"/>
        <v>99.611472776077122</v>
      </c>
    </row>
    <row r="87" spans="1:8" ht="18.75" x14ac:dyDescent="0.2">
      <c r="A87" s="145" t="s">
        <v>871</v>
      </c>
      <c r="B87" s="141" t="s">
        <v>992</v>
      </c>
      <c r="C87" s="141" t="s">
        <v>999</v>
      </c>
      <c r="D87" s="141" t="s">
        <v>346</v>
      </c>
      <c r="E87" s="141" t="s">
        <v>15</v>
      </c>
      <c r="F87" s="160">
        <f>F88</f>
        <v>148.80000000000001</v>
      </c>
      <c r="G87" s="160">
        <f t="shared" ref="G87:G88" si="14">G88</f>
        <v>148.80000000000001</v>
      </c>
      <c r="H87" s="131">
        <f t="shared" si="12"/>
        <v>100</v>
      </c>
    </row>
    <row r="88" spans="1:8" ht="31.5" x14ac:dyDescent="0.2">
      <c r="A88" s="145" t="s">
        <v>17</v>
      </c>
      <c r="B88" s="141" t="s">
        <v>992</v>
      </c>
      <c r="C88" s="141" t="s">
        <v>999</v>
      </c>
      <c r="D88" s="141" t="s">
        <v>346</v>
      </c>
      <c r="E88" s="141" t="s">
        <v>16</v>
      </c>
      <c r="F88" s="160">
        <f>F89</f>
        <v>148.80000000000001</v>
      </c>
      <c r="G88" s="160">
        <f t="shared" si="14"/>
        <v>148.80000000000001</v>
      </c>
      <c r="H88" s="131">
        <f t="shared" si="12"/>
        <v>100</v>
      </c>
    </row>
    <row r="89" spans="1:8" s="82" customFormat="1" ht="18.75" hidden="1" x14ac:dyDescent="0.2">
      <c r="A89" s="3" t="s">
        <v>548</v>
      </c>
      <c r="B89" s="2" t="s">
        <v>992</v>
      </c>
      <c r="C89" s="2" t="s">
        <v>999</v>
      </c>
      <c r="D89" s="2" t="s">
        <v>346</v>
      </c>
      <c r="E89" s="2" t="s">
        <v>67</v>
      </c>
      <c r="F89" s="62">
        <f>30+152-33.2</f>
        <v>148.80000000000001</v>
      </c>
      <c r="G89" s="62">
        <v>148.80000000000001</v>
      </c>
      <c r="H89" s="97">
        <f t="shared" si="12"/>
        <v>100</v>
      </c>
    </row>
    <row r="90" spans="1:8" ht="18.75" x14ac:dyDescent="0.2">
      <c r="A90" s="135" t="s">
        <v>349</v>
      </c>
      <c r="B90" s="136" t="s">
        <v>992</v>
      </c>
      <c r="C90" s="136" t="s">
        <v>999</v>
      </c>
      <c r="D90" s="137" t="s">
        <v>350</v>
      </c>
      <c r="E90" s="148"/>
      <c r="F90" s="138">
        <f>F91+F101+F106+F143</f>
        <v>395843.68199999997</v>
      </c>
      <c r="G90" s="138">
        <f>G91+G101+G106+G143</f>
        <v>389636.83026999998</v>
      </c>
      <c r="H90" s="131">
        <f t="shared" si="12"/>
        <v>98.431994241100455</v>
      </c>
    </row>
    <row r="91" spans="1:8" ht="31.5" x14ac:dyDescent="0.2">
      <c r="A91" s="132" t="s">
        <v>1003</v>
      </c>
      <c r="B91" s="133" t="s">
        <v>992</v>
      </c>
      <c r="C91" s="133" t="s">
        <v>999</v>
      </c>
      <c r="D91" s="139" t="s">
        <v>352</v>
      </c>
      <c r="E91" s="161"/>
      <c r="F91" s="134">
        <f>F92+F96</f>
        <v>2598</v>
      </c>
      <c r="G91" s="134">
        <f t="shared" ref="G91" si="15">G92+G96</f>
        <v>1567.6173799999999</v>
      </c>
      <c r="H91" s="131">
        <f t="shared" si="12"/>
        <v>60.339391070053885</v>
      </c>
    </row>
    <row r="92" spans="1:8" ht="63" x14ac:dyDescent="0.2">
      <c r="A92" s="140" t="s">
        <v>704</v>
      </c>
      <c r="B92" s="148" t="s">
        <v>992</v>
      </c>
      <c r="C92" s="148" t="s">
        <v>999</v>
      </c>
      <c r="D92" s="142" t="s">
        <v>353</v>
      </c>
      <c r="E92" s="148"/>
      <c r="F92" s="144">
        <f t="shared" ref="F92:G94" si="16">F93</f>
        <v>588</v>
      </c>
      <c r="G92" s="144">
        <f t="shared" si="16"/>
        <v>555.16</v>
      </c>
      <c r="H92" s="131">
        <f t="shared" si="12"/>
        <v>94.414965986394549</v>
      </c>
    </row>
    <row r="93" spans="1:8" ht="18.75" x14ac:dyDescent="0.2">
      <c r="A93" s="145" t="s">
        <v>871</v>
      </c>
      <c r="B93" s="141" t="s">
        <v>992</v>
      </c>
      <c r="C93" s="141" t="s">
        <v>999</v>
      </c>
      <c r="D93" s="146" t="s">
        <v>353</v>
      </c>
      <c r="E93" s="141" t="s">
        <v>15</v>
      </c>
      <c r="F93" s="147">
        <f t="shared" si="16"/>
        <v>588</v>
      </c>
      <c r="G93" s="147">
        <f t="shared" si="16"/>
        <v>555.16</v>
      </c>
      <c r="H93" s="131">
        <f t="shared" si="12"/>
        <v>94.414965986394549</v>
      </c>
    </row>
    <row r="94" spans="1:8" ht="31.5" x14ac:dyDescent="0.2">
      <c r="A94" s="145" t="s">
        <v>17</v>
      </c>
      <c r="B94" s="141" t="s">
        <v>992</v>
      </c>
      <c r="C94" s="141" t="s">
        <v>999</v>
      </c>
      <c r="D94" s="146" t="s">
        <v>353</v>
      </c>
      <c r="E94" s="141" t="s">
        <v>16</v>
      </c>
      <c r="F94" s="147">
        <f t="shared" si="16"/>
        <v>588</v>
      </c>
      <c r="G94" s="147">
        <f t="shared" si="16"/>
        <v>555.16</v>
      </c>
      <c r="H94" s="131">
        <f t="shared" si="12"/>
        <v>94.414965986394549</v>
      </c>
    </row>
    <row r="95" spans="1:8" s="82" customFormat="1" ht="18.75" hidden="1" x14ac:dyDescent="0.2">
      <c r="A95" s="3" t="s">
        <v>548</v>
      </c>
      <c r="B95" s="2" t="s">
        <v>992</v>
      </c>
      <c r="C95" s="2" t="s">
        <v>999</v>
      </c>
      <c r="D95" s="4" t="s">
        <v>353</v>
      </c>
      <c r="E95" s="2" t="s">
        <v>67</v>
      </c>
      <c r="F95" s="10">
        <f>682+55+40+20-37-172</f>
        <v>588</v>
      </c>
      <c r="G95" s="10">
        <v>555.16</v>
      </c>
      <c r="H95" s="97">
        <f t="shared" si="12"/>
        <v>94.414965986394549</v>
      </c>
    </row>
    <row r="96" spans="1:8" ht="31.5" x14ac:dyDescent="0.2">
      <c r="A96" s="140" t="s">
        <v>961</v>
      </c>
      <c r="B96" s="148" t="s">
        <v>992</v>
      </c>
      <c r="C96" s="148" t="s">
        <v>999</v>
      </c>
      <c r="D96" s="142" t="s">
        <v>962</v>
      </c>
      <c r="E96" s="141"/>
      <c r="F96" s="144">
        <f>F97</f>
        <v>2010</v>
      </c>
      <c r="G96" s="144">
        <f t="shared" ref="G96:G97" si="17">G97</f>
        <v>1012.4573799999999</v>
      </c>
      <c r="H96" s="131">
        <f t="shared" si="12"/>
        <v>50.371013930348255</v>
      </c>
    </row>
    <row r="97" spans="1:8" ht="47.25" x14ac:dyDescent="0.2">
      <c r="A97" s="162" t="s">
        <v>27</v>
      </c>
      <c r="B97" s="141" t="s">
        <v>992</v>
      </c>
      <c r="C97" s="141" t="s">
        <v>999</v>
      </c>
      <c r="D97" s="146" t="s">
        <v>962</v>
      </c>
      <c r="E97" s="141" t="s">
        <v>28</v>
      </c>
      <c r="F97" s="144">
        <f>F98</f>
        <v>2010</v>
      </c>
      <c r="G97" s="144">
        <f t="shared" si="17"/>
        <v>1012.4573799999999</v>
      </c>
      <c r="H97" s="131">
        <f t="shared" si="12"/>
        <v>50.371013930348255</v>
      </c>
    </row>
    <row r="98" spans="1:8" ht="18.75" x14ac:dyDescent="0.2">
      <c r="A98" s="157" t="s">
        <v>8</v>
      </c>
      <c r="B98" s="141" t="s">
        <v>992</v>
      </c>
      <c r="C98" s="141" t="s">
        <v>999</v>
      </c>
      <c r="D98" s="146" t="s">
        <v>962</v>
      </c>
      <c r="E98" s="141" t="s">
        <v>56</v>
      </c>
      <c r="F98" s="144">
        <f>F99+F100</f>
        <v>2010</v>
      </c>
      <c r="G98" s="144">
        <f t="shared" ref="G98" si="18">G99+G100</f>
        <v>1012.4573799999999</v>
      </c>
      <c r="H98" s="131">
        <f t="shared" si="12"/>
        <v>50.371013930348255</v>
      </c>
    </row>
    <row r="99" spans="1:8" s="82" customFormat="1" ht="31.5" hidden="1" x14ac:dyDescent="0.2">
      <c r="A99" s="3" t="s">
        <v>65</v>
      </c>
      <c r="B99" s="2" t="s">
        <v>992</v>
      </c>
      <c r="C99" s="2" t="s">
        <v>999</v>
      </c>
      <c r="D99" s="4" t="s">
        <v>962</v>
      </c>
      <c r="E99" s="2" t="s">
        <v>66</v>
      </c>
      <c r="F99" s="64">
        <v>1544</v>
      </c>
      <c r="G99" s="64">
        <v>820.02</v>
      </c>
      <c r="H99" s="97">
        <f t="shared" si="12"/>
        <v>53.110103626943008</v>
      </c>
    </row>
    <row r="100" spans="1:8" s="82" customFormat="1" ht="47.25" hidden="1" x14ac:dyDescent="0.2">
      <c r="A100" s="3" t="s">
        <v>140</v>
      </c>
      <c r="B100" s="2" t="s">
        <v>992</v>
      </c>
      <c r="C100" s="2" t="s">
        <v>999</v>
      </c>
      <c r="D100" s="4" t="s">
        <v>962</v>
      </c>
      <c r="E100" s="2" t="s">
        <v>139</v>
      </c>
      <c r="F100" s="64">
        <v>466</v>
      </c>
      <c r="G100" s="64">
        <v>192.43737999999999</v>
      </c>
      <c r="H100" s="97">
        <f t="shared" si="12"/>
        <v>41.295575107296131</v>
      </c>
    </row>
    <row r="101" spans="1:8" ht="31.5" x14ac:dyDescent="0.2">
      <c r="A101" s="132" t="s">
        <v>138</v>
      </c>
      <c r="B101" s="133" t="s">
        <v>992</v>
      </c>
      <c r="C101" s="133" t="s">
        <v>999</v>
      </c>
      <c r="D101" s="139" t="s">
        <v>351</v>
      </c>
      <c r="E101" s="161"/>
      <c r="F101" s="134">
        <f t="shared" ref="F101:G104" si="19">F102</f>
        <v>1401</v>
      </c>
      <c r="G101" s="134">
        <f t="shared" si="19"/>
        <v>1290.95</v>
      </c>
      <c r="H101" s="131">
        <f t="shared" si="12"/>
        <v>92.144896502498213</v>
      </c>
    </row>
    <row r="102" spans="1:8" ht="18.75" x14ac:dyDescent="0.2">
      <c r="A102" s="140" t="s">
        <v>354</v>
      </c>
      <c r="B102" s="141" t="s">
        <v>992</v>
      </c>
      <c r="C102" s="141" t="s">
        <v>999</v>
      </c>
      <c r="D102" s="142" t="s">
        <v>356</v>
      </c>
      <c r="E102" s="148"/>
      <c r="F102" s="144">
        <f t="shared" si="19"/>
        <v>1401</v>
      </c>
      <c r="G102" s="144">
        <f t="shared" si="19"/>
        <v>1290.95</v>
      </c>
      <c r="H102" s="131">
        <f t="shared" si="12"/>
        <v>92.144896502498213</v>
      </c>
    </row>
    <row r="103" spans="1:8" ht="18.75" x14ac:dyDescent="0.2">
      <c r="A103" s="145" t="s">
        <v>871</v>
      </c>
      <c r="B103" s="136" t="s">
        <v>992</v>
      </c>
      <c r="C103" s="136" t="s">
        <v>999</v>
      </c>
      <c r="D103" s="146" t="s">
        <v>356</v>
      </c>
      <c r="E103" s="141" t="s">
        <v>15</v>
      </c>
      <c r="F103" s="147">
        <f t="shared" si="19"/>
        <v>1401</v>
      </c>
      <c r="G103" s="147">
        <f t="shared" si="19"/>
        <v>1290.95</v>
      </c>
      <c r="H103" s="131">
        <f t="shared" si="12"/>
        <v>92.144896502498213</v>
      </c>
    </row>
    <row r="104" spans="1:8" ht="31.5" x14ac:dyDescent="0.2">
      <c r="A104" s="145" t="s">
        <v>17</v>
      </c>
      <c r="B104" s="141" t="s">
        <v>992</v>
      </c>
      <c r="C104" s="141" t="s">
        <v>999</v>
      </c>
      <c r="D104" s="146" t="s">
        <v>356</v>
      </c>
      <c r="E104" s="141" t="s">
        <v>16</v>
      </c>
      <c r="F104" s="147">
        <f t="shared" si="19"/>
        <v>1401</v>
      </c>
      <c r="G104" s="147">
        <f t="shared" si="19"/>
        <v>1290.95</v>
      </c>
      <c r="H104" s="131">
        <f t="shared" si="12"/>
        <v>92.144896502498213</v>
      </c>
    </row>
    <row r="105" spans="1:8" s="82" customFormat="1" ht="18.75" hidden="1" x14ac:dyDescent="0.2">
      <c r="A105" s="3" t="s">
        <v>548</v>
      </c>
      <c r="B105" s="2" t="s">
        <v>992</v>
      </c>
      <c r="C105" s="2" t="s">
        <v>999</v>
      </c>
      <c r="D105" s="4" t="s">
        <v>356</v>
      </c>
      <c r="E105" s="2" t="s">
        <v>67</v>
      </c>
      <c r="F105" s="10">
        <f>940+1396+110+76+60-1396+896-339-100-35-57-150</f>
        <v>1401</v>
      </c>
      <c r="G105" s="10">
        <v>1290.95</v>
      </c>
      <c r="H105" s="97">
        <f t="shared" si="12"/>
        <v>92.144896502498213</v>
      </c>
    </row>
    <row r="106" spans="1:8" ht="31.5" x14ac:dyDescent="0.2">
      <c r="A106" s="132" t="s">
        <v>362</v>
      </c>
      <c r="B106" s="133" t="s">
        <v>992</v>
      </c>
      <c r="C106" s="133" t="s">
        <v>999</v>
      </c>
      <c r="D106" s="139" t="s">
        <v>357</v>
      </c>
      <c r="E106" s="136"/>
      <c r="F106" s="134">
        <f>F107+F121+F133+F139+F127</f>
        <v>388327.68199999997</v>
      </c>
      <c r="G106" s="134">
        <f>G107+G121+G133+G139+G127</f>
        <v>384516.91112999996</v>
      </c>
      <c r="H106" s="131">
        <f t="shared" si="12"/>
        <v>99.018671331805791</v>
      </c>
    </row>
    <row r="107" spans="1:8" ht="18.75" x14ac:dyDescent="0.2">
      <c r="A107" s="140" t="s">
        <v>1004</v>
      </c>
      <c r="B107" s="148" t="s">
        <v>992</v>
      </c>
      <c r="C107" s="148" t="s">
        <v>999</v>
      </c>
      <c r="D107" s="142" t="s">
        <v>359</v>
      </c>
      <c r="E107" s="148"/>
      <c r="F107" s="144">
        <f>F108+F113+F117</f>
        <v>373182.68199999997</v>
      </c>
      <c r="G107" s="144">
        <f>G108+G113+G117</f>
        <v>369517.50583999994</v>
      </c>
      <c r="H107" s="131">
        <f t="shared" si="12"/>
        <v>99.017860062434508</v>
      </c>
    </row>
    <row r="108" spans="1:8" ht="47.25" x14ac:dyDescent="0.2">
      <c r="A108" s="145" t="s">
        <v>35</v>
      </c>
      <c r="B108" s="141" t="s">
        <v>988</v>
      </c>
      <c r="C108" s="141" t="s">
        <v>999</v>
      </c>
      <c r="D108" s="146" t="s">
        <v>359</v>
      </c>
      <c r="E108" s="141">
        <v>100</v>
      </c>
      <c r="F108" s="147">
        <f>F109</f>
        <v>372596</v>
      </c>
      <c r="G108" s="147">
        <f>G109</f>
        <v>369175.49583999999</v>
      </c>
      <c r="H108" s="131">
        <f t="shared" si="12"/>
        <v>99.08198043994031</v>
      </c>
    </row>
    <row r="109" spans="1:8" ht="18.75" x14ac:dyDescent="0.2">
      <c r="A109" s="145" t="s">
        <v>8</v>
      </c>
      <c r="B109" s="141" t="s">
        <v>988</v>
      </c>
      <c r="C109" s="141" t="s">
        <v>999</v>
      </c>
      <c r="D109" s="146" t="s">
        <v>359</v>
      </c>
      <c r="E109" s="141">
        <v>120</v>
      </c>
      <c r="F109" s="147">
        <f>F110+F111+F112</f>
        <v>372596</v>
      </c>
      <c r="G109" s="147">
        <f>G110+G111+G112</f>
        <v>369175.49583999999</v>
      </c>
      <c r="H109" s="131">
        <f t="shared" si="12"/>
        <v>99.08198043994031</v>
      </c>
    </row>
    <row r="110" spans="1:8" s="82" customFormat="1" ht="18.75" hidden="1" x14ac:dyDescent="0.2">
      <c r="A110" s="3" t="s">
        <v>224</v>
      </c>
      <c r="B110" s="2" t="s">
        <v>988</v>
      </c>
      <c r="C110" s="2" t="s">
        <v>999</v>
      </c>
      <c r="D110" s="4" t="s">
        <v>359</v>
      </c>
      <c r="E110" s="2" t="s">
        <v>64</v>
      </c>
      <c r="F110" s="10">
        <f>191365+23436+1003+792+700+1450+433+276+712+6500+758</f>
        <v>227425</v>
      </c>
      <c r="G110" s="10">
        <v>226523.22915</v>
      </c>
      <c r="H110" s="97">
        <f t="shared" si="12"/>
        <v>99.603486490051665</v>
      </c>
    </row>
    <row r="111" spans="1:8" s="82" customFormat="1" ht="31.5" hidden="1" x14ac:dyDescent="0.2">
      <c r="A111" s="3" t="s">
        <v>65</v>
      </c>
      <c r="B111" s="2" t="s">
        <v>988</v>
      </c>
      <c r="C111" s="2" t="s">
        <v>999</v>
      </c>
      <c r="D111" s="4" t="s">
        <v>359</v>
      </c>
      <c r="E111" s="2" t="s">
        <v>66</v>
      </c>
      <c r="F111" s="10">
        <f>58489+3200+2661+2240-5+8398+316+264+224-7+85-34-1084-85-22-311-13938-433</f>
        <v>59958</v>
      </c>
      <c r="G111" s="10">
        <v>58748.014380000001</v>
      </c>
      <c r="H111" s="97">
        <f t="shared" si="12"/>
        <v>97.981944661262887</v>
      </c>
    </row>
    <row r="112" spans="1:8" s="82" customFormat="1" ht="47.25" hidden="1" x14ac:dyDescent="0.2">
      <c r="A112" s="3" t="s">
        <v>140</v>
      </c>
      <c r="B112" s="2" t="s">
        <v>988</v>
      </c>
      <c r="C112" s="2" t="s">
        <v>999</v>
      </c>
      <c r="D112" s="4" t="s">
        <v>359</v>
      </c>
      <c r="E112" s="2" t="s">
        <v>139</v>
      </c>
      <c r="F112" s="10">
        <f>75187+9783+386+207+271+465+71+68-1300+75</f>
        <v>85213</v>
      </c>
      <c r="G112" s="10">
        <v>83904.252309999996</v>
      </c>
      <c r="H112" s="97">
        <f t="shared" si="12"/>
        <v>98.464145505967394</v>
      </c>
    </row>
    <row r="113" spans="1:8" ht="18.75" x14ac:dyDescent="0.2">
      <c r="A113" s="145" t="s">
        <v>871</v>
      </c>
      <c r="B113" s="141" t="s">
        <v>992</v>
      </c>
      <c r="C113" s="141" t="s">
        <v>999</v>
      </c>
      <c r="D113" s="146" t="s">
        <v>359</v>
      </c>
      <c r="E113" s="141">
        <v>200</v>
      </c>
      <c r="F113" s="147">
        <f>F114</f>
        <v>532.5</v>
      </c>
      <c r="G113" s="147">
        <f>G114</f>
        <v>327.57299999999998</v>
      </c>
      <c r="H113" s="131">
        <f t="shared" si="12"/>
        <v>61.516056338028172</v>
      </c>
    </row>
    <row r="114" spans="1:8" ht="31.5" x14ac:dyDescent="0.2">
      <c r="A114" s="145" t="s">
        <v>17</v>
      </c>
      <c r="B114" s="141" t="s">
        <v>988</v>
      </c>
      <c r="C114" s="141" t="s">
        <v>999</v>
      </c>
      <c r="D114" s="146" t="s">
        <v>359</v>
      </c>
      <c r="E114" s="141">
        <v>240</v>
      </c>
      <c r="F114" s="147">
        <f>F116+F115</f>
        <v>532.5</v>
      </c>
      <c r="G114" s="147">
        <f>G116+G115</f>
        <v>327.57299999999998</v>
      </c>
      <c r="H114" s="131">
        <f t="shared" si="12"/>
        <v>61.516056338028172</v>
      </c>
    </row>
    <row r="115" spans="1:8" s="82" customFormat="1" ht="31.5" hidden="1" x14ac:dyDescent="0.2">
      <c r="A115" s="28" t="s">
        <v>367</v>
      </c>
      <c r="B115" s="2" t="s">
        <v>988</v>
      </c>
      <c r="C115" s="2" t="s">
        <v>999</v>
      </c>
      <c r="D115" s="4" t="s">
        <v>359</v>
      </c>
      <c r="E115" s="2" t="s">
        <v>368</v>
      </c>
      <c r="F115" s="10">
        <f>80-4.5-12-16</f>
        <v>47.5</v>
      </c>
      <c r="G115" s="10">
        <v>17.559999999999999</v>
      </c>
      <c r="H115" s="97">
        <f t="shared" si="12"/>
        <v>36.968421052631577</v>
      </c>
    </row>
    <row r="116" spans="1:8" s="82" customFormat="1" ht="18.75" hidden="1" x14ac:dyDescent="0.2">
      <c r="A116" s="3" t="s">
        <v>548</v>
      </c>
      <c r="B116" s="2" t="s">
        <v>988</v>
      </c>
      <c r="C116" s="2" t="s">
        <v>999</v>
      </c>
      <c r="D116" s="4" t="s">
        <v>359</v>
      </c>
      <c r="E116" s="2" t="s">
        <v>67</v>
      </c>
      <c r="F116" s="10">
        <f>510-50+25</f>
        <v>485</v>
      </c>
      <c r="G116" s="10">
        <v>310.01299999999998</v>
      </c>
      <c r="H116" s="97">
        <f t="shared" si="12"/>
        <v>63.920206185567011</v>
      </c>
    </row>
    <row r="117" spans="1:8" ht="18.75" x14ac:dyDescent="0.2">
      <c r="A117" s="145" t="s">
        <v>13</v>
      </c>
      <c r="B117" s="141" t="s">
        <v>992</v>
      </c>
      <c r="C117" s="141" t="s">
        <v>999</v>
      </c>
      <c r="D117" s="146" t="s">
        <v>359</v>
      </c>
      <c r="E117" s="141">
        <v>800</v>
      </c>
      <c r="F117" s="147">
        <f>F118</f>
        <v>54.182000000000002</v>
      </c>
      <c r="G117" s="147">
        <f>G118</f>
        <v>14.437000000000001</v>
      </c>
      <c r="H117" s="131">
        <f t="shared" si="12"/>
        <v>26.645380384629586</v>
      </c>
    </row>
    <row r="118" spans="1:8" ht="18.75" x14ac:dyDescent="0.2">
      <c r="A118" s="145" t="s">
        <v>32</v>
      </c>
      <c r="B118" s="141" t="s">
        <v>988</v>
      </c>
      <c r="C118" s="141" t="s">
        <v>999</v>
      </c>
      <c r="D118" s="146" t="s">
        <v>359</v>
      </c>
      <c r="E118" s="141">
        <v>850</v>
      </c>
      <c r="F118" s="147">
        <f>F119+F120</f>
        <v>54.182000000000002</v>
      </c>
      <c r="G118" s="147">
        <f>G119+G120</f>
        <v>14.437000000000001</v>
      </c>
      <c r="H118" s="131">
        <f t="shared" si="12"/>
        <v>26.645380384629586</v>
      </c>
    </row>
    <row r="119" spans="1:8" s="82" customFormat="1" ht="18.75" hidden="1" x14ac:dyDescent="0.2">
      <c r="A119" s="3" t="s">
        <v>70</v>
      </c>
      <c r="B119" s="2" t="s">
        <v>988</v>
      </c>
      <c r="C119" s="2" t="s">
        <v>999</v>
      </c>
      <c r="D119" s="4" t="s">
        <v>359</v>
      </c>
      <c r="E119" s="2" t="s">
        <v>71</v>
      </c>
      <c r="F119" s="10">
        <v>25</v>
      </c>
      <c r="G119" s="10">
        <v>5.2549999999999999</v>
      </c>
      <c r="H119" s="97">
        <f t="shared" si="12"/>
        <v>21.02</v>
      </c>
    </row>
    <row r="120" spans="1:8" s="82" customFormat="1" ht="18.75" hidden="1" x14ac:dyDescent="0.2">
      <c r="A120" s="3" t="s">
        <v>308</v>
      </c>
      <c r="B120" s="2" t="s">
        <v>988</v>
      </c>
      <c r="C120" s="2" t="s">
        <v>999</v>
      </c>
      <c r="D120" s="4" t="s">
        <v>359</v>
      </c>
      <c r="E120" s="2" t="s">
        <v>307</v>
      </c>
      <c r="F120" s="10">
        <f>20+5+4.182</f>
        <v>29.182000000000002</v>
      </c>
      <c r="G120" s="10">
        <v>9.1820000000000004</v>
      </c>
      <c r="H120" s="97">
        <f t="shared" si="12"/>
        <v>31.464601466657527</v>
      </c>
    </row>
    <row r="121" spans="1:8" ht="31.5" x14ac:dyDescent="0.2">
      <c r="A121" s="140" t="s">
        <v>128</v>
      </c>
      <c r="B121" s="148" t="s">
        <v>988</v>
      </c>
      <c r="C121" s="148" t="s">
        <v>999</v>
      </c>
      <c r="D121" s="148" t="s">
        <v>360</v>
      </c>
      <c r="E121" s="148"/>
      <c r="F121" s="144">
        <f t="shared" ref="F121:G122" si="20">F122</f>
        <v>2823</v>
      </c>
      <c r="G121" s="144">
        <f t="shared" si="20"/>
        <v>2823</v>
      </c>
      <c r="H121" s="131">
        <f t="shared" si="12"/>
        <v>100</v>
      </c>
    </row>
    <row r="122" spans="1:8" ht="47.25" x14ac:dyDescent="0.2">
      <c r="A122" s="145" t="s">
        <v>35</v>
      </c>
      <c r="B122" s="141" t="s">
        <v>992</v>
      </c>
      <c r="C122" s="141" t="s">
        <v>999</v>
      </c>
      <c r="D122" s="141" t="s">
        <v>360</v>
      </c>
      <c r="E122" s="141">
        <v>100</v>
      </c>
      <c r="F122" s="147">
        <f t="shared" si="20"/>
        <v>2823</v>
      </c>
      <c r="G122" s="147">
        <f t="shared" si="20"/>
        <v>2823</v>
      </c>
      <c r="H122" s="131">
        <f t="shared" si="12"/>
        <v>100</v>
      </c>
    </row>
    <row r="123" spans="1:8" ht="18.75" x14ac:dyDescent="0.2">
      <c r="A123" s="145" t="s">
        <v>8</v>
      </c>
      <c r="B123" s="141" t="s">
        <v>992</v>
      </c>
      <c r="C123" s="141" t="s">
        <v>999</v>
      </c>
      <c r="D123" s="141" t="s">
        <v>360</v>
      </c>
      <c r="E123" s="141">
        <v>120</v>
      </c>
      <c r="F123" s="147">
        <f>F124+F125+F126</f>
        <v>2823</v>
      </c>
      <c r="G123" s="147">
        <f>G124+G125+G126</f>
        <v>2823</v>
      </c>
      <c r="H123" s="131">
        <f t="shared" si="12"/>
        <v>100</v>
      </c>
    </row>
    <row r="124" spans="1:8" s="82" customFormat="1" ht="18.75" hidden="1" x14ac:dyDescent="0.2">
      <c r="A124" s="3" t="s">
        <v>224</v>
      </c>
      <c r="B124" s="2" t="s">
        <v>992</v>
      </c>
      <c r="C124" s="2" t="s">
        <v>999</v>
      </c>
      <c r="D124" s="2" t="s">
        <v>360</v>
      </c>
      <c r="E124" s="2" t="s">
        <v>64</v>
      </c>
      <c r="F124" s="62">
        <f>1357+85</f>
        <v>1442</v>
      </c>
      <c r="G124" s="62">
        <v>1442</v>
      </c>
      <c r="H124" s="97">
        <f t="shared" si="12"/>
        <v>100</v>
      </c>
    </row>
    <row r="125" spans="1:8" s="82" customFormat="1" ht="31.5" hidden="1" x14ac:dyDescent="0.2">
      <c r="A125" s="3" t="s">
        <v>65</v>
      </c>
      <c r="B125" s="2" t="s">
        <v>992</v>
      </c>
      <c r="C125" s="2" t="s">
        <v>999</v>
      </c>
      <c r="D125" s="2" t="s">
        <v>360</v>
      </c>
      <c r="E125" s="2" t="s">
        <v>66</v>
      </c>
      <c r="F125" s="62">
        <f>660.078+66.009</f>
        <v>726.08699999999999</v>
      </c>
      <c r="G125" s="62">
        <v>726.08699999999999</v>
      </c>
      <c r="H125" s="97">
        <f t="shared" si="12"/>
        <v>100</v>
      </c>
    </row>
    <row r="126" spans="1:8" s="82" customFormat="1" ht="47.25" hidden="1" x14ac:dyDescent="0.2">
      <c r="A126" s="3" t="s">
        <v>140</v>
      </c>
      <c r="B126" s="2" t="s">
        <v>992</v>
      </c>
      <c r="C126" s="2" t="s">
        <v>999</v>
      </c>
      <c r="D126" s="2" t="s">
        <v>360</v>
      </c>
      <c r="E126" s="2" t="s">
        <v>139</v>
      </c>
      <c r="F126" s="62">
        <f>604.922+49.991</f>
        <v>654.91300000000001</v>
      </c>
      <c r="G126" s="62">
        <v>654.91300000000001</v>
      </c>
      <c r="H126" s="97">
        <f t="shared" si="12"/>
        <v>100</v>
      </c>
    </row>
    <row r="127" spans="1:8" ht="157.5" x14ac:dyDescent="0.2">
      <c r="A127" s="140" t="s">
        <v>838</v>
      </c>
      <c r="B127" s="148" t="s">
        <v>988</v>
      </c>
      <c r="C127" s="148" t="s">
        <v>999</v>
      </c>
      <c r="D127" s="148" t="s">
        <v>839</v>
      </c>
      <c r="E127" s="148"/>
      <c r="F127" s="144">
        <f t="shared" ref="F127:G128" si="21">F128</f>
        <v>941</v>
      </c>
      <c r="G127" s="144">
        <f t="shared" si="21"/>
        <v>869.95929000000001</v>
      </c>
      <c r="H127" s="131">
        <f t="shared" si="12"/>
        <v>92.450509032943671</v>
      </c>
    </row>
    <row r="128" spans="1:8" ht="47.25" x14ac:dyDescent="0.2">
      <c r="A128" s="145" t="s">
        <v>35</v>
      </c>
      <c r="B128" s="141" t="s">
        <v>992</v>
      </c>
      <c r="C128" s="141" t="s">
        <v>999</v>
      </c>
      <c r="D128" s="141" t="s">
        <v>839</v>
      </c>
      <c r="E128" s="141">
        <v>100</v>
      </c>
      <c r="F128" s="147">
        <f t="shared" si="21"/>
        <v>941</v>
      </c>
      <c r="G128" s="147">
        <f t="shared" si="21"/>
        <v>869.95929000000001</v>
      </c>
      <c r="H128" s="131">
        <f t="shared" si="12"/>
        <v>92.450509032943671</v>
      </c>
    </row>
    <row r="129" spans="1:8" ht="18.75" x14ac:dyDescent="0.2">
      <c r="A129" s="145" t="s">
        <v>8</v>
      </c>
      <c r="B129" s="141" t="s">
        <v>992</v>
      </c>
      <c r="C129" s="141" t="s">
        <v>999</v>
      </c>
      <c r="D129" s="141" t="s">
        <v>839</v>
      </c>
      <c r="E129" s="141">
        <v>120</v>
      </c>
      <c r="F129" s="147">
        <f>SUM(F130:F132)</f>
        <v>941</v>
      </c>
      <c r="G129" s="147">
        <f>G130+G131+G132</f>
        <v>869.95929000000001</v>
      </c>
      <c r="H129" s="131">
        <f t="shared" si="12"/>
        <v>92.450509032943671</v>
      </c>
    </row>
    <row r="130" spans="1:8" s="82" customFormat="1" ht="18.75" hidden="1" x14ac:dyDescent="0.2">
      <c r="A130" s="3" t="s">
        <v>224</v>
      </c>
      <c r="B130" s="2" t="s">
        <v>992</v>
      </c>
      <c r="C130" s="2" t="s">
        <v>999</v>
      </c>
      <c r="D130" s="2" t="s">
        <v>839</v>
      </c>
      <c r="E130" s="2" t="s">
        <v>64</v>
      </c>
      <c r="F130" s="62">
        <v>541.29420000000005</v>
      </c>
      <c r="G130" s="62">
        <v>485.29586999999998</v>
      </c>
      <c r="H130" s="97">
        <f t="shared" si="12"/>
        <v>89.654733045356835</v>
      </c>
    </row>
    <row r="131" spans="1:8" s="82" customFormat="1" ht="31.5" hidden="1" x14ac:dyDescent="0.2">
      <c r="A131" s="3" t="s">
        <v>65</v>
      </c>
      <c r="B131" s="2" t="s">
        <v>992</v>
      </c>
      <c r="C131" s="2" t="s">
        <v>999</v>
      </c>
      <c r="D131" s="2" t="s">
        <v>839</v>
      </c>
      <c r="E131" s="2" t="s">
        <v>66</v>
      </c>
      <c r="F131" s="62">
        <v>182.351</v>
      </c>
      <c r="G131" s="62">
        <v>182.351</v>
      </c>
      <c r="H131" s="97">
        <f t="shared" si="12"/>
        <v>100</v>
      </c>
    </row>
    <row r="132" spans="1:8" s="82" customFormat="1" ht="47.25" hidden="1" x14ac:dyDescent="0.2">
      <c r="A132" s="3" t="s">
        <v>140</v>
      </c>
      <c r="B132" s="2" t="s">
        <v>992</v>
      </c>
      <c r="C132" s="2" t="s">
        <v>999</v>
      </c>
      <c r="D132" s="2" t="s">
        <v>839</v>
      </c>
      <c r="E132" s="2" t="s">
        <v>139</v>
      </c>
      <c r="F132" s="62">
        <v>217.35480000000001</v>
      </c>
      <c r="G132" s="62">
        <v>202.31242</v>
      </c>
      <c r="H132" s="97">
        <f t="shared" si="12"/>
        <v>93.079343083290539</v>
      </c>
    </row>
    <row r="133" spans="1:8" ht="18.75" x14ac:dyDescent="0.2">
      <c r="A133" s="140" t="s">
        <v>550</v>
      </c>
      <c r="B133" s="148" t="s">
        <v>988</v>
      </c>
      <c r="C133" s="148" t="s">
        <v>999</v>
      </c>
      <c r="D133" s="148" t="s">
        <v>551</v>
      </c>
      <c r="E133" s="148"/>
      <c r="F133" s="144">
        <f>F134</f>
        <v>9096</v>
      </c>
      <c r="G133" s="144">
        <f>G134</f>
        <v>9096</v>
      </c>
      <c r="H133" s="131">
        <f t="shared" si="12"/>
        <v>100</v>
      </c>
    </row>
    <row r="134" spans="1:8" ht="47.25" x14ac:dyDescent="0.2">
      <c r="A134" s="145" t="s">
        <v>35</v>
      </c>
      <c r="B134" s="141" t="s">
        <v>992</v>
      </c>
      <c r="C134" s="141" t="s">
        <v>999</v>
      </c>
      <c r="D134" s="141" t="s">
        <v>551</v>
      </c>
      <c r="E134" s="141">
        <v>100</v>
      </c>
      <c r="F134" s="147">
        <f>F135</f>
        <v>9096</v>
      </c>
      <c r="G134" s="147">
        <f t="shared" ref="G134" si="22">G135</f>
        <v>9096</v>
      </c>
      <c r="H134" s="131">
        <f t="shared" si="12"/>
        <v>100</v>
      </c>
    </row>
    <row r="135" spans="1:8" ht="18.75" x14ac:dyDescent="0.2">
      <c r="A135" s="145" t="s">
        <v>8</v>
      </c>
      <c r="B135" s="141" t="s">
        <v>992</v>
      </c>
      <c r="C135" s="141" t="s">
        <v>999</v>
      </c>
      <c r="D135" s="141" t="s">
        <v>551</v>
      </c>
      <c r="E135" s="141">
        <v>120</v>
      </c>
      <c r="F135" s="147">
        <f>F136+F137+F138</f>
        <v>9096</v>
      </c>
      <c r="G135" s="147">
        <f t="shared" ref="G135" si="23">G136+G137+G138</f>
        <v>9096</v>
      </c>
      <c r="H135" s="131">
        <f t="shared" si="12"/>
        <v>100</v>
      </c>
    </row>
    <row r="136" spans="1:8" s="82" customFormat="1" ht="18.75" hidden="1" x14ac:dyDescent="0.2">
      <c r="A136" s="3" t="s">
        <v>224</v>
      </c>
      <c r="B136" s="2" t="s">
        <v>992</v>
      </c>
      <c r="C136" s="2" t="s">
        <v>999</v>
      </c>
      <c r="D136" s="2" t="s">
        <v>551</v>
      </c>
      <c r="E136" s="2" t="s">
        <v>64</v>
      </c>
      <c r="F136" s="62">
        <f>4773+230</f>
        <v>5003</v>
      </c>
      <c r="G136" s="62">
        <v>5132.0711700000002</v>
      </c>
      <c r="H136" s="97">
        <f t="shared" si="12"/>
        <v>102.57987547471517</v>
      </c>
    </row>
    <row r="137" spans="1:8" s="82" customFormat="1" ht="31.5" hidden="1" x14ac:dyDescent="0.2">
      <c r="A137" s="3" t="s">
        <v>65</v>
      </c>
      <c r="B137" s="2" t="s">
        <v>992</v>
      </c>
      <c r="C137" s="2" t="s">
        <v>999</v>
      </c>
      <c r="D137" s="2" t="s">
        <v>551</v>
      </c>
      <c r="E137" s="2" t="s">
        <v>66</v>
      </c>
      <c r="F137" s="62">
        <f>1500.198+634.081</f>
        <v>2134.279</v>
      </c>
      <c r="G137" s="62">
        <v>1881.4059999999999</v>
      </c>
      <c r="H137" s="97">
        <f t="shared" si="12"/>
        <v>88.151830196520692</v>
      </c>
    </row>
    <row r="138" spans="1:8" s="82" customFormat="1" ht="47.25" hidden="1" x14ac:dyDescent="0.2">
      <c r="A138" s="3" t="s">
        <v>140</v>
      </c>
      <c r="B138" s="2" t="s">
        <v>992</v>
      </c>
      <c r="C138" s="2" t="s">
        <v>999</v>
      </c>
      <c r="D138" s="2" t="s">
        <v>551</v>
      </c>
      <c r="E138" s="2" t="s">
        <v>139</v>
      </c>
      <c r="F138" s="62">
        <f>1886.802+71.919</f>
        <v>1958.721</v>
      </c>
      <c r="G138" s="62">
        <v>2082.5228299999999</v>
      </c>
      <c r="H138" s="97">
        <f t="shared" si="12"/>
        <v>106.32054437564105</v>
      </c>
    </row>
    <row r="139" spans="1:8" ht="18.75" x14ac:dyDescent="0.2">
      <c r="A139" s="140" t="s">
        <v>361</v>
      </c>
      <c r="B139" s="141" t="s">
        <v>992</v>
      </c>
      <c r="C139" s="141" t="s">
        <v>999</v>
      </c>
      <c r="D139" s="136" t="s">
        <v>652</v>
      </c>
      <c r="E139" s="148"/>
      <c r="F139" s="144">
        <f t="shared" ref="F139:G141" si="24">F140</f>
        <v>2285</v>
      </c>
      <c r="G139" s="144">
        <f t="shared" si="24"/>
        <v>2210.4459999999999</v>
      </c>
      <c r="H139" s="131">
        <f t="shared" ref="H139:H200" si="25">G139/F139*100</f>
        <v>96.737242888402619</v>
      </c>
    </row>
    <row r="140" spans="1:8" ht="18.75" x14ac:dyDescent="0.2">
      <c r="A140" s="145" t="s">
        <v>871</v>
      </c>
      <c r="B140" s="141" t="s">
        <v>992</v>
      </c>
      <c r="C140" s="141" t="s">
        <v>999</v>
      </c>
      <c r="D140" s="141" t="s">
        <v>652</v>
      </c>
      <c r="E140" s="141">
        <v>200</v>
      </c>
      <c r="F140" s="147">
        <f t="shared" si="24"/>
        <v>2285</v>
      </c>
      <c r="G140" s="147">
        <f t="shared" si="24"/>
        <v>2210.4459999999999</v>
      </c>
      <c r="H140" s="131">
        <f t="shared" si="25"/>
        <v>96.737242888402619</v>
      </c>
    </row>
    <row r="141" spans="1:8" ht="31.5" x14ac:dyDescent="0.2">
      <c r="A141" s="145" t="s">
        <v>17</v>
      </c>
      <c r="B141" s="141" t="s">
        <v>992</v>
      </c>
      <c r="C141" s="141" t="s">
        <v>999</v>
      </c>
      <c r="D141" s="141" t="s">
        <v>652</v>
      </c>
      <c r="E141" s="141">
        <v>240</v>
      </c>
      <c r="F141" s="147">
        <f t="shared" si="24"/>
        <v>2285</v>
      </c>
      <c r="G141" s="147">
        <f t="shared" si="24"/>
        <v>2210.4459999999999</v>
      </c>
      <c r="H141" s="131">
        <f t="shared" si="25"/>
        <v>96.737242888402619</v>
      </c>
    </row>
    <row r="142" spans="1:8" s="82" customFormat="1" ht="18.75" hidden="1" x14ac:dyDescent="0.2">
      <c r="A142" s="3" t="s">
        <v>548</v>
      </c>
      <c r="B142" s="2" t="s">
        <v>992</v>
      </c>
      <c r="C142" s="2" t="s">
        <v>999</v>
      </c>
      <c r="D142" s="2" t="s">
        <v>652</v>
      </c>
      <c r="E142" s="2" t="s">
        <v>67</v>
      </c>
      <c r="F142" s="62">
        <f>2285</f>
        <v>2285</v>
      </c>
      <c r="G142" s="62">
        <v>2210.4459999999999</v>
      </c>
      <c r="H142" s="97">
        <f t="shared" si="25"/>
        <v>96.737242888402619</v>
      </c>
    </row>
    <row r="143" spans="1:8" ht="31.5" x14ac:dyDescent="0.25">
      <c r="A143" s="163" t="s">
        <v>863</v>
      </c>
      <c r="B143" s="133" t="s">
        <v>992</v>
      </c>
      <c r="C143" s="133" t="s">
        <v>999</v>
      </c>
      <c r="D143" s="133" t="s">
        <v>864</v>
      </c>
      <c r="E143" s="133"/>
      <c r="F143" s="164">
        <f>F151+F144</f>
        <v>3517</v>
      </c>
      <c r="G143" s="164">
        <f>G151+G144</f>
        <v>2261.35176</v>
      </c>
      <c r="H143" s="131">
        <f t="shared" si="25"/>
        <v>64.297746943417692</v>
      </c>
    </row>
    <row r="144" spans="1:8" ht="18.75" x14ac:dyDescent="0.25">
      <c r="A144" s="165" t="s">
        <v>866</v>
      </c>
      <c r="B144" s="141" t="s">
        <v>992</v>
      </c>
      <c r="C144" s="141" t="s">
        <v>999</v>
      </c>
      <c r="D144" s="141" t="s">
        <v>865</v>
      </c>
      <c r="E144" s="141"/>
      <c r="F144" s="166">
        <f>F145+F148</f>
        <v>25</v>
      </c>
      <c r="G144" s="166">
        <f>G145+G148</f>
        <v>8.1999999999999993</v>
      </c>
      <c r="H144" s="131">
        <f t="shared" si="25"/>
        <v>32.799999999999997</v>
      </c>
    </row>
    <row r="145" spans="1:8" ht="18.75" x14ac:dyDescent="0.25">
      <c r="A145" s="165" t="s">
        <v>871</v>
      </c>
      <c r="B145" s="141" t="s">
        <v>992</v>
      </c>
      <c r="C145" s="141" t="s">
        <v>999</v>
      </c>
      <c r="D145" s="141" t="s">
        <v>865</v>
      </c>
      <c r="E145" s="141" t="s">
        <v>15</v>
      </c>
      <c r="F145" s="166">
        <f t="shared" ref="F145:G149" si="26">F146</f>
        <v>24</v>
      </c>
      <c r="G145" s="166">
        <f t="shared" si="26"/>
        <v>7.2</v>
      </c>
      <c r="H145" s="131">
        <f t="shared" si="25"/>
        <v>30</v>
      </c>
    </row>
    <row r="146" spans="1:8" ht="31.5" x14ac:dyDescent="0.25">
      <c r="A146" s="165" t="s">
        <v>17</v>
      </c>
      <c r="B146" s="141" t="s">
        <v>992</v>
      </c>
      <c r="C146" s="141" t="s">
        <v>999</v>
      </c>
      <c r="D146" s="141" t="s">
        <v>865</v>
      </c>
      <c r="E146" s="141" t="s">
        <v>16</v>
      </c>
      <c r="F146" s="166">
        <f t="shared" si="26"/>
        <v>24</v>
      </c>
      <c r="G146" s="166">
        <f t="shared" si="26"/>
        <v>7.2</v>
      </c>
      <c r="H146" s="131">
        <f t="shared" si="25"/>
        <v>30</v>
      </c>
    </row>
    <row r="147" spans="1:8" s="82" customFormat="1" ht="18.75" hidden="1" x14ac:dyDescent="0.25">
      <c r="A147" s="8" t="s">
        <v>549</v>
      </c>
      <c r="B147" s="2" t="s">
        <v>992</v>
      </c>
      <c r="C147" s="2" t="s">
        <v>999</v>
      </c>
      <c r="D147" s="2" t="s">
        <v>865</v>
      </c>
      <c r="E147" s="2" t="s">
        <v>67</v>
      </c>
      <c r="F147" s="36">
        <f>25-1</f>
        <v>24</v>
      </c>
      <c r="G147" s="62">
        <v>7.2</v>
      </c>
      <c r="H147" s="97">
        <f t="shared" si="25"/>
        <v>30</v>
      </c>
    </row>
    <row r="148" spans="1:8" ht="18.75" x14ac:dyDescent="0.25">
      <c r="A148" s="165" t="s">
        <v>13</v>
      </c>
      <c r="B148" s="141" t="s">
        <v>992</v>
      </c>
      <c r="C148" s="141" t="s">
        <v>999</v>
      </c>
      <c r="D148" s="141" t="s">
        <v>865</v>
      </c>
      <c r="E148" s="141" t="s">
        <v>14</v>
      </c>
      <c r="F148" s="166">
        <f t="shared" si="26"/>
        <v>1</v>
      </c>
      <c r="G148" s="166">
        <f t="shared" si="26"/>
        <v>1</v>
      </c>
      <c r="H148" s="131">
        <f t="shared" si="25"/>
        <v>100</v>
      </c>
    </row>
    <row r="149" spans="1:8" ht="18.75" x14ac:dyDescent="0.25">
      <c r="A149" s="165" t="s">
        <v>32</v>
      </c>
      <c r="B149" s="141" t="s">
        <v>992</v>
      </c>
      <c r="C149" s="141" t="s">
        <v>999</v>
      </c>
      <c r="D149" s="141" t="s">
        <v>865</v>
      </c>
      <c r="E149" s="141" t="s">
        <v>31</v>
      </c>
      <c r="F149" s="166">
        <f t="shared" si="26"/>
        <v>1</v>
      </c>
      <c r="G149" s="166">
        <f t="shared" si="26"/>
        <v>1</v>
      </c>
      <c r="H149" s="131">
        <f t="shared" si="25"/>
        <v>100</v>
      </c>
    </row>
    <row r="150" spans="1:8" s="82" customFormat="1" ht="18.75" hidden="1" x14ac:dyDescent="0.25">
      <c r="A150" s="8" t="s">
        <v>308</v>
      </c>
      <c r="B150" s="2" t="s">
        <v>992</v>
      </c>
      <c r="C150" s="2" t="s">
        <v>999</v>
      </c>
      <c r="D150" s="2" t="s">
        <v>865</v>
      </c>
      <c r="E150" s="2" t="s">
        <v>307</v>
      </c>
      <c r="F150" s="36">
        <v>1</v>
      </c>
      <c r="G150" s="36">
        <v>1</v>
      </c>
      <c r="H150" s="97">
        <f t="shared" si="25"/>
        <v>100</v>
      </c>
    </row>
    <row r="151" spans="1:8" ht="18.75" x14ac:dyDescent="0.25">
      <c r="A151" s="167" t="s">
        <v>868</v>
      </c>
      <c r="B151" s="148" t="s">
        <v>992</v>
      </c>
      <c r="C151" s="148" t="s">
        <v>999</v>
      </c>
      <c r="D151" s="148" t="s">
        <v>867</v>
      </c>
      <c r="E151" s="148"/>
      <c r="F151" s="168">
        <f>F152</f>
        <v>3492</v>
      </c>
      <c r="G151" s="168">
        <f t="shared" ref="G151:G153" si="27">G152</f>
        <v>2253.1517600000002</v>
      </c>
      <c r="H151" s="131">
        <f t="shared" si="25"/>
        <v>64.523246277205047</v>
      </c>
    </row>
    <row r="152" spans="1:8" ht="47.25" x14ac:dyDescent="0.2">
      <c r="A152" s="169" t="s">
        <v>35</v>
      </c>
      <c r="B152" s="141" t="s">
        <v>992</v>
      </c>
      <c r="C152" s="141" t="s">
        <v>999</v>
      </c>
      <c r="D152" s="141" t="s">
        <v>867</v>
      </c>
      <c r="E152" s="141" t="s">
        <v>28</v>
      </c>
      <c r="F152" s="166">
        <f>F153</f>
        <v>3492</v>
      </c>
      <c r="G152" s="166">
        <f t="shared" si="27"/>
        <v>2253.1517600000002</v>
      </c>
      <c r="H152" s="131">
        <f t="shared" si="25"/>
        <v>64.523246277205047</v>
      </c>
    </row>
    <row r="153" spans="1:8" ht="18.75" x14ac:dyDescent="0.25">
      <c r="A153" s="165" t="s">
        <v>8</v>
      </c>
      <c r="B153" s="141" t="s">
        <v>992</v>
      </c>
      <c r="C153" s="141" t="s">
        <v>999</v>
      </c>
      <c r="D153" s="141" t="s">
        <v>867</v>
      </c>
      <c r="E153" s="141" t="s">
        <v>56</v>
      </c>
      <c r="F153" s="166">
        <f>F154</f>
        <v>3492</v>
      </c>
      <c r="G153" s="166">
        <f t="shared" si="27"/>
        <v>2253.1517600000002</v>
      </c>
      <c r="H153" s="131">
        <f t="shared" si="25"/>
        <v>64.523246277205047</v>
      </c>
    </row>
    <row r="154" spans="1:8" s="82" customFormat="1" ht="18.75" hidden="1" x14ac:dyDescent="0.25">
      <c r="A154" s="8" t="s">
        <v>224</v>
      </c>
      <c r="B154" s="2" t="s">
        <v>992</v>
      </c>
      <c r="C154" s="2" t="s">
        <v>999</v>
      </c>
      <c r="D154" s="2" t="s">
        <v>867</v>
      </c>
      <c r="E154" s="2" t="s">
        <v>64</v>
      </c>
      <c r="F154" s="36">
        <f>789+3866-1163</f>
        <v>3492</v>
      </c>
      <c r="G154" s="62">
        <v>2253.1517600000002</v>
      </c>
      <c r="H154" s="97">
        <f t="shared" si="25"/>
        <v>64.523246277205047</v>
      </c>
    </row>
    <row r="155" spans="1:8" ht="47.25" x14ac:dyDescent="0.2">
      <c r="A155" s="132" t="s">
        <v>1005</v>
      </c>
      <c r="B155" s="133" t="s">
        <v>992</v>
      </c>
      <c r="C155" s="133" t="s">
        <v>999</v>
      </c>
      <c r="D155" s="133" t="s">
        <v>341</v>
      </c>
      <c r="E155" s="133"/>
      <c r="F155" s="134">
        <f t="shared" ref="F155:G160" si="28">F156</f>
        <v>15901</v>
      </c>
      <c r="G155" s="134">
        <f t="shared" si="28"/>
        <v>15838.5</v>
      </c>
      <c r="H155" s="131">
        <f t="shared" si="25"/>
        <v>99.606942959562289</v>
      </c>
    </row>
    <row r="156" spans="1:8" ht="63" x14ac:dyDescent="0.2">
      <c r="A156" s="135" t="s">
        <v>537</v>
      </c>
      <c r="B156" s="136" t="s">
        <v>992</v>
      </c>
      <c r="C156" s="136" t="s">
        <v>999</v>
      </c>
      <c r="D156" s="137" t="s">
        <v>420</v>
      </c>
      <c r="E156" s="136"/>
      <c r="F156" s="138">
        <f t="shared" si="28"/>
        <v>15901</v>
      </c>
      <c r="G156" s="138">
        <f t="shared" si="28"/>
        <v>15838.5</v>
      </c>
      <c r="H156" s="131">
        <f t="shared" si="25"/>
        <v>99.606942959562289</v>
      </c>
    </row>
    <row r="157" spans="1:8" ht="31.5" x14ac:dyDescent="0.2">
      <c r="A157" s="132" t="s">
        <v>171</v>
      </c>
      <c r="B157" s="133" t="s">
        <v>992</v>
      </c>
      <c r="C157" s="133" t="s">
        <v>999</v>
      </c>
      <c r="D157" s="139" t="s">
        <v>421</v>
      </c>
      <c r="E157" s="136"/>
      <c r="F157" s="134">
        <f t="shared" si="28"/>
        <v>15901</v>
      </c>
      <c r="G157" s="134">
        <f t="shared" si="28"/>
        <v>15838.5</v>
      </c>
      <c r="H157" s="131">
        <f t="shared" si="25"/>
        <v>99.606942959562289</v>
      </c>
    </row>
    <row r="158" spans="1:8" ht="18.75" x14ac:dyDescent="0.2">
      <c r="A158" s="140" t="s">
        <v>123</v>
      </c>
      <c r="B158" s="141" t="s">
        <v>992</v>
      </c>
      <c r="C158" s="141" t="s">
        <v>999</v>
      </c>
      <c r="D158" s="148" t="s">
        <v>422</v>
      </c>
      <c r="E158" s="149"/>
      <c r="F158" s="144">
        <f t="shared" si="28"/>
        <v>15901</v>
      </c>
      <c r="G158" s="144">
        <f t="shared" si="28"/>
        <v>15838.5</v>
      </c>
      <c r="H158" s="131">
        <f t="shared" si="25"/>
        <v>99.606942959562289</v>
      </c>
    </row>
    <row r="159" spans="1:8" ht="18.75" x14ac:dyDescent="0.2">
      <c r="A159" s="145" t="s">
        <v>871</v>
      </c>
      <c r="B159" s="141" t="s">
        <v>992</v>
      </c>
      <c r="C159" s="141" t="s">
        <v>999</v>
      </c>
      <c r="D159" s="141" t="s">
        <v>422</v>
      </c>
      <c r="E159" s="141" t="s">
        <v>15</v>
      </c>
      <c r="F159" s="147">
        <f t="shared" si="28"/>
        <v>15901</v>
      </c>
      <c r="G159" s="147">
        <f t="shared" si="28"/>
        <v>15838.5</v>
      </c>
      <c r="H159" s="131">
        <f t="shared" si="25"/>
        <v>99.606942959562289</v>
      </c>
    </row>
    <row r="160" spans="1:8" ht="31.5" x14ac:dyDescent="0.2">
      <c r="A160" s="145" t="s">
        <v>17</v>
      </c>
      <c r="B160" s="141" t="s">
        <v>992</v>
      </c>
      <c r="C160" s="141" t="s">
        <v>999</v>
      </c>
      <c r="D160" s="141" t="s">
        <v>422</v>
      </c>
      <c r="E160" s="141" t="s">
        <v>16</v>
      </c>
      <c r="F160" s="147">
        <f t="shared" si="28"/>
        <v>15901</v>
      </c>
      <c r="G160" s="147">
        <f t="shared" si="28"/>
        <v>15838.5</v>
      </c>
      <c r="H160" s="131">
        <f t="shared" si="25"/>
        <v>99.606942959562289</v>
      </c>
    </row>
    <row r="161" spans="1:8" s="82" customFormat="1" ht="31.5" hidden="1" x14ac:dyDescent="0.2">
      <c r="A161" s="28" t="s">
        <v>389</v>
      </c>
      <c r="B161" s="2" t="s">
        <v>992</v>
      </c>
      <c r="C161" s="2" t="s">
        <v>999</v>
      </c>
      <c r="D161" s="2" t="s">
        <v>422</v>
      </c>
      <c r="E161" s="33" t="s">
        <v>368</v>
      </c>
      <c r="F161" s="10">
        <f>400-20+15600-79</f>
        <v>15901</v>
      </c>
      <c r="G161" s="10">
        <v>15838.5</v>
      </c>
      <c r="H161" s="97">
        <f t="shared" si="25"/>
        <v>99.606942959562289</v>
      </c>
    </row>
    <row r="162" spans="1:8" ht="31.5" x14ac:dyDescent="0.2">
      <c r="A162" s="132" t="s">
        <v>1006</v>
      </c>
      <c r="B162" s="133" t="s">
        <v>992</v>
      </c>
      <c r="C162" s="133" t="s">
        <v>999</v>
      </c>
      <c r="D162" s="133" t="s">
        <v>585</v>
      </c>
      <c r="E162" s="133"/>
      <c r="F162" s="134">
        <f>F163</f>
        <v>1871</v>
      </c>
      <c r="G162" s="134">
        <f t="shared" ref="G162:G163" si="29">G163</f>
        <v>1871</v>
      </c>
      <c r="H162" s="131">
        <f t="shared" si="25"/>
        <v>100</v>
      </c>
    </row>
    <row r="163" spans="1:8" ht="18.75" x14ac:dyDescent="0.2">
      <c r="A163" s="135" t="s">
        <v>715</v>
      </c>
      <c r="B163" s="136" t="s">
        <v>992</v>
      </c>
      <c r="C163" s="136" t="s">
        <v>999</v>
      </c>
      <c r="D163" s="137" t="s">
        <v>716</v>
      </c>
      <c r="E163" s="136"/>
      <c r="F163" s="138">
        <f>F164</f>
        <v>1871</v>
      </c>
      <c r="G163" s="138">
        <f t="shared" si="29"/>
        <v>1871</v>
      </c>
      <c r="H163" s="131">
        <f t="shared" si="25"/>
        <v>100</v>
      </c>
    </row>
    <row r="164" spans="1:8" ht="18.75" x14ac:dyDescent="0.2">
      <c r="A164" s="132" t="s">
        <v>600</v>
      </c>
      <c r="B164" s="133" t="s">
        <v>992</v>
      </c>
      <c r="C164" s="133" t="s">
        <v>999</v>
      </c>
      <c r="D164" s="133" t="s">
        <v>722</v>
      </c>
      <c r="E164" s="170"/>
      <c r="F164" s="134">
        <f>F165+F174</f>
        <v>1871</v>
      </c>
      <c r="G164" s="134">
        <f>G165+G174</f>
        <v>1871</v>
      </c>
      <c r="H164" s="131">
        <f t="shared" si="25"/>
        <v>100</v>
      </c>
    </row>
    <row r="165" spans="1:8" ht="18.75" x14ac:dyDescent="0.2">
      <c r="A165" s="140" t="s">
        <v>591</v>
      </c>
      <c r="B165" s="141" t="s">
        <v>992</v>
      </c>
      <c r="C165" s="141" t="s">
        <v>999</v>
      </c>
      <c r="D165" s="148" t="s">
        <v>726</v>
      </c>
      <c r="E165" s="171"/>
      <c r="F165" s="144">
        <f>F166+F171</f>
        <v>1259</v>
      </c>
      <c r="G165" s="144">
        <f t="shared" ref="G165" si="30">G166+G171</f>
        <v>1259</v>
      </c>
      <c r="H165" s="131">
        <f t="shared" si="25"/>
        <v>100</v>
      </c>
    </row>
    <row r="166" spans="1:8" ht="47.25" x14ac:dyDescent="0.2">
      <c r="A166" s="145" t="s">
        <v>35</v>
      </c>
      <c r="B166" s="141" t="s">
        <v>992</v>
      </c>
      <c r="C166" s="141" t="s">
        <v>999</v>
      </c>
      <c r="D166" s="141" t="s">
        <v>726</v>
      </c>
      <c r="E166" s="141" t="s">
        <v>28</v>
      </c>
      <c r="F166" s="147">
        <f>F167</f>
        <v>1184</v>
      </c>
      <c r="G166" s="147">
        <f>G167</f>
        <v>1184</v>
      </c>
      <c r="H166" s="131">
        <f t="shared" si="25"/>
        <v>100</v>
      </c>
    </row>
    <row r="167" spans="1:8" ht="18.75" x14ac:dyDescent="0.2">
      <c r="A167" s="145" t="s">
        <v>8</v>
      </c>
      <c r="B167" s="141" t="s">
        <v>992</v>
      </c>
      <c r="C167" s="141" t="s">
        <v>999</v>
      </c>
      <c r="D167" s="141" t="s">
        <v>726</v>
      </c>
      <c r="E167" s="141" t="s">
        <v>56</v>
      </c>
      <c r="F167" s="147">
        <f>F168+F169+F170</f>
        <v>1184</v>
      </c>
      <c r="G167" s="147">
        <f>G168+G169+G170</f>
        <v>1184</v>
      </c>
      <c r="H167" s="131">
        <f t="shared" si="25"/>
        <v>100</v>
      </c>
    </row>
    <row r="168" spans="1:8" s="82" customFormat="1" ht="18.75" hidden="1" x14ac:dyDescent="0.2">
      <c r="A168" s="3" t="s">
        <v>224</v>
      </c>
      <c r="B168" s="2" t="s">
        <v>992</v>
      </c>
      <c r="C168" s="2" t="s">
        <v>999</v>
      </c>
      <c r="D168" s="2" t="s">
        <v>726</v>
      </c>
      <c r="E168" s="2" t="s">
        <v>64</v>
      </c>
      <c r="F168" s="62">
        <f>603+66</f>
        <v>669</v>
      </c>
      <c r="G168" s="62">
        <v>684.24424999999997</v>
      </c>
      <c r="H168" s="97">
        <f t="shared" si="25"/>
        <v>102.27866218236173</v>
      </c>
    </row>
    <row r="169" spans="1:8" s="82" customFormat="1" ht="31.5" hidden="1" x14ac:dyDescent="0.2">
      <c r="A169" s="3" t="s">
        <v>65</v>
      </c>
      <c r="B169" s="2" t="s">
        <v>992</v>
      </c>
      <c r="C169" s="2" t="s">
        <v>999</v>
      </c>
      <c r="D169" s="2" t="s">
        <v>726</v>
      </c>
      <c r="E169" s="2" t="s">
        <v>66</v>
      </c>
      <c r="F169" s="62">
        <f>220.026+22.003</f>
        <v>242.029</v>
      </c>
      <c r="G169" s="62">
        <v>223.59299999999999</v>
      </c>
      <c r="H169" s="97">
        <f t="shared" si="25"/>
        <v>92.382730995046046</v>
      </c>
    </row>
    <row r="170" spans="1:8" s="82" customFormat="1" ht="47.25" hidden="1" x14ac:dyDescent="0.2">
      <c r="A170" s="3" t="s">
        <v>140</v>
      </c>
      <c r="B170" s="2" t="s">
        <v>992</v>
      </c>
      <c r="C170" s="2" t="s">
        <v>999</v>
      </c>
      <c r="D170" s="2" t="s">
        <v>726</v>
      </c>
      <c r="E170" s="2" t="s">
        <v>139</v>
      </c>
      <c r="F170" s="62">
        <f>246.974+25.997</f>
        <v>272.971</v>
      </c>
      <c r="G170" s="62">
        <v>276.16275000000002</v>
      </c>
      <c r="H170" s="97">
        <f t="shared" si="25"/>
        <v>101.16926340160677</v>
      </c>
    </row>
    <row r="171" spans="1:8" ht="18.75" x14ac:dyDescent="0.2">
      <c r="A171" s="145" t="s">
        <v>871</v>
      </c>
      <c r="B171" s="141" t="s">
        <v>992</v>
      </c>
      <c r="C171" s="141" t="s">
        <v>999</v>
      </c>
      <c r="D171" s="141" t="s">
        <v>726</v>
      </c>
      <c r="E171" s="141" t="s">
        <v>15</v>
      </c>
      <c r="F171" s="160">
        <f>F172</f>
        <v>75</v>
      </c>
      <c r="G171" s="160">
        <f t="shared" ref="G171:G172" si="31">G172</f>
        <v>75</v>
      </c>
      <c r="H171" s="131">
        <f t="shared" si="25"/>
        <v>100</v>
      </c>
    </row>
    <row r="172" spans="1:8" ht="31.5" x14ac:dyDescent="0.2">
      <c r="A172" s="145" t="s">
        <v>17</v>
      </c>
      <c r="B172" s="141" t="s">
        <v>992</v>
      </c>
      <c r="C172" s="141" t="s">
        <v>999</v>
      </c>
      <c r="D172" s="141" t="s">
        <v>726</v>
      </c>
      <c r="E172" s="141" t="s">
        <v>16</v>
      </c>
      <c r="F172" s="160">
        <f>F173</f>
        <v>75</v>
      </c>
      <c r="G172" s="160">
        <f t="shared" si="31"/>
        <v>75</v>
      </c>
      <c r="H172" s="131">
        <f t="shared" si="25"/>
        <v>100</v>
      </c>
    </row>
    <row r="173" spans="1:8" s="82" customFormat="1" ht="18.75" hidden="1" x14ac:dyDescent="0.2">
      <c r="A173" s="3" t="s">
        <v>548</v>
      </c>
      <c r="B173" s="2" t="s">
        <v>992</v>
      </c>
      <c r="C173" s="2" t="s">
        <v>999</v>
      </c>
      <c r="D173" s="2" t="s">
        <v>726</v>
      </c>
      <c r="E173" s="2" t="s">
        <v>368</v>
      </c>
      <c r="F173" s="62">
        <v>75</v>
      </c>
      <c r="G173" s="62">
        <v>75</v>
      </c>
      <c r="H173" s="97">
        <f t="shared" si="25"/>
        <v>100</v>
      </c>
    </row>
    <row r="174" spans="1:8" ht="31.5" x14ac:dyDescent="0.2">
      <c r="A174" s="140" t="s">
        <v>595</v>
      </c>
      <c r="B174" s="148" t="s">
        <v>992</v>
      </c>
      <c r="C174" s="148" t="s">
        <v>999</v>
      </c>
      <c r="D174" s="148" t="s">
        <v>727</v>
      </c>
      <c r="E174" s="148"/>
      <c r="F174" s="144">
        <f t="shared" ref="F174:G175" si="32">F175</f>
        <v>612</v>
      </c>
      <c r="G174" s="144">
        <f t="shared" si="32"/>
        <v>612</v>
      </c>
      <c r="H174" s="131">
        <f t="shared" si="25"/>
        <v>100</v>
      </c>
    </row>
    <row r="175" spans="1:8" ht="47.25" x14ac:dyDescent="0.2">
      <c r="A175" s="145" t="s">
        <v>35</v>
      </c>
      <c r="B175" s="141" t="s">
        <v>992</v>
      </c>
      <c r="C175" s="141" t="s">
        <v>999</v>
      </c>
      <c r="D175" s="141" t="s">
        <v>727</v>
      </c>
      <c r="E175" s="141" t="s">
        <v>28</v>
      </c>
      <c r="F175" s="147">
        <f t="shared" si="32"/>
        <v>612</v>
      </c>
      <c r="G175" s="147">
        <f t="shared" si="32"/>
        <v>612</v>
      </c>
      <c r="H175" s="131">
        <f t="shared" si="25"/>
        <v>100</v>
      </c>
    </row>
    <row r="176" spans="1:8" ht="18.75" x14ac:dyDescent="0.2">
      <c r="A176" s="145" t="s">
        <v>8</v>
      </c>
      <c r="B176" s="141" t="s">
        <v>992</v>
      </c>
      <c r="C176" s="141" t="s">
        <v>999</v>
      </c>
      <c r="D176" s="141" t="s">
        <v>727</v>
      </c>
      <c r="E176" s="141" t="s">
        <v>56</v>
      </c>
      <c r="F176" s="147">
        <f>F177+F179+F178</f>
        <v>612</v>
      </c>
      <c r="G176" s="147">
        <f t="shared" ref="G176" si="33">G177+G179+G178</f>
        <v>612</v>
      </c>
      <c r="H176" s="131">
        <f t="shared" si="25"/>
        <v>100</v>
      </c>
    </row>
    <row r="177" spans="1:8" s="82" customFormat="1" ht="18.75" hidden="1" x14ac:dyDescent="0.2">
      <c r="A177" s="3" t="s">
        <v>224</v>
      </c>
      <c r="B177" s="2" t="s">
        <v>992</v>
      </c>
      <c r="C177" s="2" t="s">
        <v>999</v>
      </c>
      <c r="D177" s="2" t="s">
        <v>727</v>
      </c>
      <c r="E177" s="2" t="s">
        <v>64</v>
      </c>
      <c r="F177" s="62">
        <f>196+50</f>
        <v>246</v>
      </c>
      <c r="G177" s="62">
        <f>196+50</f>
        <v>246</v>
      </c>
      <c r="H177" s="97">
        <f t="shared" si="25"/>
        <v>100</v>
      </c>
    </row>
    <row r="178" spans="1:8" s="82" customFormat="1" ht="31.5" hidden="1" x14ac:dyDescent="0.2">
      <c r="A178" s="3" t="s">
        <v>65</v>
      </c>
      <c r="B178" s="2" t="s">
        <v>992</v>
      </c>
      <c r="C178" s="2" t="s">
        <v>999</v>
      </c>
      <c r="D178" s="2" t="s">
        <v>727</v>
      </c>
      <c r="E178" s="2" t="s">
        <v>66</v>
      </c>
      <c r="F178" s="62">
        <f>220.026+22.003</f>
        <v>242.029</v>
      </c>
      <c r="G178" s="62">
        <f>220.026+22.003</f>
        <v>242.029</v>
      </c>
      <c r="H178" s="97">
        <f t="shared" si="25"/>
        <v>100</v>
      </c>
    </row>
    <row r="179" spans="1:8" s="82" customFormat="1" ht="47.25" hidden="1" x14ac:dyDescent="0.2">
      <c r="A179" s="3" t="s">
        <v>140</v>
      </c>
      <c r="B179" s="2" t="s">
        <v>992</v>
      </c>
      <c r="C179" s="2" t="s">
        <v>999</v>
      </c>
      <c r="D179" s="2" t="s">
        <v>727</v>
      </c>
      <c r="E179" s="2" t="s">
        <v>139</v>
      </c>
      <c r="F179" s="62">
        <f>123.974-0.003</f>
        <v>123.971</v>
      </c>
      <c r="G179" s="62">
        <f>123.974-0.003</f>
        <v>123.971</v>
      </c>
      <c r="H179" s="97">
        <f t="shared" si="25"/>
        <v>100</v>
      </c>
    </row>
    <row r="180" spans="1:8" ht="31.5" x14ac:dyDescent="0.2">
      <c r="A180" s="132" t="s">
        <v>995</v>
      </c>
      <c r="B180" s="133" t="s">
        <v>992</v>
      </c>
      <c r="C180" s="133" t="s">
        <v>999</v>
      </c>
      <c r="D180" s="133" t="s">
        <v>157</v>
      </c>
      <c r="E180" s="133"/>
      <c r="F180" s="134">
        <f t="shared" ref="F180:G183" si="34">F181</f>
        <v>915</v>
      </c>
      <c r="G180" s="134">
        <f t="shared" si="34"/>
        <v>791</v>
      </c>
      <c r="H180" s="131">
        <f t="shared" si="25"/>
        <v>86.448087431693992</v>
      </c>
    </row>
    <row r="181" spans="1:8" ht="18.75" x14ac:dyDescent="0.2">
      <c r="A181" s="140" t="s">
        <v>1</v>
      </c>
      <c r="B181" s="148" t="s">
        <v>988</v>
      </c>
      <c r="C181" s="148" t="s">
        <v>999</v>
      </c>
      <c r="D181" s="148" t="s">
        <v>158</v>
      </c>
      <c r="E181" s="148"/>
      <c r="F181" s="144">
        <f t="shared" si="34"/>
        <v>915</v>
      </c>
      <c r="G181" s="144">
        <f t="shared" si="34"/>
        <v>791</v>
      </c>
      <c r="H181" s="131">
        <f t="shared" si="25"/>
        <v>86.448087431693992</v>
      </c>
    </row>
    <row r="182" spans="1:8" ht="18.75" x14ac:dyDescent="0.2">
      <c r="A182" s="145" t="s">
        <v>871</v>
      </c>
      <c r="B182" s="141" t="s">
        <v>992</v>
      </c>
      <c r="C182" s="141" t="s">
        <v>999</v>
      </c>
      <c r="D182" s="141" t="s">
        <v>158</v>
      </c>
      <c r="E182" s="141">
        <v>200</v>
      </c>
      <c r="F182" s="147">
        <f t="shared" si="34"/>
        <v>915</v>
      </c>
      <c r="G182" s="147">
        <f t="shared" si="34"/>
        <v>791</v>
      </c>
      <c r="H182" s="131">
        <f t="shared" si="25"/>
        <v>86.448087431693992</v>
      </c>
    </row>
    <row r="183" spans="1:8" ht="31.5" x14ac:dyDescent="0.2">
      <c r="A183" s="145" t="s">
        <v>17</v>
      </c>
      <c r="B183" s="141" t="s">
        <v>988</v>
      </c>
      <c r="C183" s="141" t="s">
        <v>999</v>
      </c>
      <c r="D183" s="141" t="s">
        <v>158</v>
      </c>
      <c r="E183" s="141">
        <v>240</v>
      </c>
      <c r="F183" s="147">
        <f t="shared" si="34"/>
        <v>915</v>
      </c>
      <c r="G183" s="147">
        <f t="shared" si="34"/>
        <v>791</v>
      </c>
      <c r="H183" s="131">
        <f t="shared" si="25"/>
        <v>86.448087431693992</v>
      </c>
    </row>
    <row r="184" spans="1:8" s="82" customFormat="1" ht="31.5" hidden="1" x14ac:dyDescent="0.2">
      <c r="A184" s="28" t="s">
        <v>367</v>
      </c>
      <c r="B184" s="2" t="s">
        <v>992</v>
      </c>
      <c r="C184" s="2" t="s">
        <v>999</v>
      </c>
      <c r="D184" s="2" t="s">
        <v>158</v>
      </c>
      <c r="E184" s="2" t="s">
        <v>368</v>
      </c>
      <c r="F184" s="10">
        <f>605+310</f>
        <v>915</v>
      </c>
      <c r="G184" s="10">
        <v>791</v>
      </c>
      <c r="H184" s="97">
        <f t="shared" si="25"/>
        <v>86.448087431693992</v>
      </c>
    </row>
    <row r="185" spans="1:8" ht="18.75" x14ac:dyDescent="0.2">
      <c r="A185" s="132" t="s">
        <v>54</v>
      </c>
      <c r="B185" s="133" t="s">
        <v>992</v>
      </c>
      <c r="C185" s="133" t="s">
        <v>999</v>
      </c>
      <c r="D185" s="133" t="s">
        <v>161</v>
      </c>
      <c r="E185" s="133"/>
      <c r="F185" s="134">
        <f>F186+F193</f>
        <v>71.2</v>
      </c>
      <c r="G185" s="134">
        <f t="shared" ref="G185" si="35">G186+G193</f>
        <v>70.652550000000005</v>
      </c>
      <c r="H185" s="131">
        <f t="shared" si="25"/>
        <v>99.231109550561797</v>
      </c>
    </row>
    <row r="186" spans="1:8" ht="18.75" x14ac:dyDescent="0.2">
      <c r="A186" s="140" t="s">
        <v>455</v>
      </c>
      <c r="B186" s="148" t="s">
        <v>992</v>
      </c>
      <c r="C186" s="148" t="s">
        <v>999</v>
      </c>
      <c r="D186" s="148" t="s">
        <v>463</v>
      </c>
      <c r="E186" s="148"/>
      <c r="F186" s="144">
        <f>F190+F187</f>
        <v>70</v>
      </c>
      <c r="G186" s="144">
        <f t="shared" ref="G186" si="36">G190+G187</f>
        <v>69.541870000000003</v>
      </c>
      <c r="H186" s="131">
        <f t="shared" si="25"/>
        <v>99.345528571428574</v>
      </c>
    </row>
    <row r="187" spans="1:8" ht="18.75" x14ac:dyDescent="0.2">
      <c r="A187" s="145" t="s">
        <v>871</v>
      </c>
      <c r="B187" s="148" t="s">
        <v>992</v>
      </c>
      <c r="C187" s="148" t="s">
        <v>999</v>
      </c>
      <c r="D187" s="148" t="s">
        <v>463</v>
      </c>
      <c r="E187" s="141" t="s">
        <v>15</v>
      </c>
      <c r="F187" s="144">
        <f>F188</f>
        <v>56</v>
      </c>
      <c r="G187" s="144">
        <f t="shared" ref="G187:G188" si="37">G188</f>
        <v>55.755580000000002</v>
      </c>
      <c r="H187" s="131">
        <f t="shared" si="25"/>
        <v>99.56353571428572</v>
      </c>
    </row>
    <row r="188" spans="1:8" ht="31.5" x14ac:dyDescent="0.2">
      <c r="A188" s="145" t="s">
        <v>17</v>
      </c>
      <c r="B188" s="148" t="s">
        <v>992</v>
      </c>
      <c r="C188" s="148" t="s">
        <v>999</v>
      </c>
      <c r="D188" s="148" t="s">
        <v>463</v>
      </c>
      <c r="E188" s="141" t="s">
        <v>16</v>
      </c>
      <c r="F188" s="144">
        <f>F189</f>
        <v>56</v>
      </c>
      <c r="G188" s="144">
        <f t="shared" si="37"/>
        <v>55.755580000000002</v>
      </c>
      <c r="H188" s="131">
        <f t="shared" si="25"/>
        <v>99.56353571428572</v>
      </c>
    </row>
    <row r="189" spans="1:8" s="82" customFormat="1" ht="18.75" hidden="1" x14ac:dyDescent="0.2">
      <c r="A189" s="3" t="s">
        <v>548</v>
      </c>
      <c r="B189" s="12" t="s">
        <v>992</v>
      </c>
      <c r="C189" s="12" t="s">
        <v>999</v>
      </c>
      <c r="D189" s="12" t="s">
        <v>463</v>
      </c>
      <c r="E189" s="2" t="s">
        <v>67</v>
      </c>
      <c r="F189" s="18">
        <v>56</v>
      </c>
      <c r="G189" s="18">
        <v>55.755580000000002</v>
      </c>
      <c r="H189" s="97">
        <f t="shared" si="25"/>
        <v>99.56353571428572</v>
      </c>
    </row>
    <row r="190" spans="1:8" ht="18.75" x14ac:dyDescent="0.2">
      <c r="A190" s="145" t="s">
        <v>13</v>
      </c>
      <c r="B190" s="141" t="s">
        <v>992</v>
      </c>
      <c r="C190" s="141" t="s">
        <v>999</v>
      </c>
      <c r="D190" s="141" t="s">
        <v>463</v>
      </c>
      <c r="E190" s="141" t="s">
        <v>14</v>
      </c>
      <c r="F190" s="147">
        <f t="shared" ref="F190:G191" si="38">F191</f>
        <v>14</v>
      </c>
      <c r="G190" s="147">
        <f t="shared" si="38"/>
        <v>13.786289999999999</v>
      </c>
      <c r="H190" s="131">
        <f t="shared" si="25"/>
        <v>98.473499999999987</v>
      </c>
    </row>
    <row r="191" spans="1:8" ht="18.75" x14ac:dyDescent="0.2">
      <c r="A191" s="145" t="s">
        <v>456</v>
      </c>
      <c r="B191" s="141" t="s">
        <v>992</v>
      </c>
      <c r="C191" s="141" t="s">
        <v>999</v>
      </c>
      <c r="D191" s="141" t="s">
        <v>463</v>
      </c>
      <c r="E191" s="141" t="s">
        <v>457</v>
      </c>
      <c r="F191" s="147">
        <f t="shared" si="38"/>
        <v>14</v>
      </c>
      <c r="G191" s="147">
        <f t="shared" si="38"/>
        <v>13.786289999999999</v>
      </c>
      <c r="H191" s="131">
        <f t="shared" si="25"/>
        <v>98.473499999999987</v>
      </c>
    </row>
    <row r="192" spans="1:8" s="82" customFormat="1" ht="18.75" hidden="1" x14ac:dyDescent="0.2">
      <c r="A192" s="3" t="s">
        <v>1007</v>
      </c>
      <c r="B192" s="2" t="s">
        <v>992</v>
      </c>
      <c r="C192" s="2" t="s">
        <v>999</v>
      </c>
      <c r="D192" s="2" t="s">
        <v>463</v>
      </c>
      <c r="E192" s="2" t="s">
        <v>458</v>
      </c>
      <c r="F192" s="62">
        <f>14</f>
        <v>14</v>
      </c>
      <c r="G192" s="62">
        <v>13.786289999999999</v>
      </c>
      <c r="H192" s="97">
        <f t="shared" si="25"/>
        <v>98.473499999999987</v>
      </c>
    </row>
    <row r="193" spans="1:8" ht="31.5" x14ac:dyDescent="0.2">
      <c r="A193" s="157" t="s">
        <v>481</v>
      </c>
      <c r="B193" s="141" t="s">
        <v>992</v>
      </c>
      <c r="C193" s="141" t="s">
        <v>999</v>
      </c>
      <c r="D193" s="148" t="s">
        <v>480</v>
      </c>
      <c r="E193" s="172"/>
      <c r="F193" s="144">
        <f t="shared" ref="F193:G195" si="39">F194</f>
        <v>1.2000000000000028</v>
      </c>
      <c r="G193" s="144">
        <f t="shared" si="39"/>
        <v>1.1106799999999999</v>
      </c>
      <c r="H193" s="131">
        <f t="shared" si="25"/>
        <v>92.556666666666445</v>
      </c>
    </row>
    <row r="194" spans="1:8" ht="18.75" x14ac:dyDescent="0.2">
      <c r="A194" s="145" t="s">
        <v>871</v>
      </c>
      <c r="B194" s="141" t="s">
        <v>992</v>
      </c>
      <c r="C194" s="141" t="s">
        <v>999</v>
      </c>
      <c r="D194" s="141" t="s">
        <v>480</v>
      </c>
      <c r="E194" s="141" t="s">
        <v>15</v>
      </c>
      <c r="F194" s="147">
        <f t="shared" si="39"/>
        <v>1.2000000000000028</v>
      </c>
      <c r="G194" s="147">
        <f t="shared" si="39"/>
        <v>1.1106799999999999</v>
      </c>
      <c r="H194" s="131">
        <f t="shared" si="25"/>
        <v>92.556666666666445</v>
      </c>
    </row>
    <row r="195" spans="1:8" ht="31.5" x14ac:dyDescent="0.2">
      <c r="A195" s="145" t="s">
        <v>17</v>
      </c>
      <c r="B195" s="141" t="s">
        <v>992</v>
      </c>
      <c r="C195" s="141" t="s">
        <v>999</v>
      </c>
      <c r="D195" s="141" t="s">
        <v>480</v>
      </c>
      <c r="E195" s="141" t="s">
        <v>16</v>
      </c>
      <c r="F195" s="147">
        <f t="shared" si="39"/>
        <v>1.2000000000000028</v>
      </c>
      <c r="G195" s="147">
        <f t="shared" si="39"/>
        <v>1.1106799999999999</v>
      </c>
      <c r="H195" s="131">
        <f t="shared" si="25"/>
        <v>92.556666666666445</v>
      </c>
    </row>
    <row r="196" spans="1:8" s="82" customFormat="1" ht="18.75" hidden="1" x14ac:dyDescent="0.2">
      <c r="A196" s="3" t="s">
        <v>548</v>
      </c>
      <c r="B196" s="2" t="s">
        <v>992</v>
      </c>
      <c r="C196" s="2" t="s">
        <v>999</v>
      </c>
      <c r="D196" s="2" t="s">
        <v>480</v>
      </c>
      <c r="E196" s="2" t="s">
        <v>67</v>
      </c>
      <c r="F196" s="10">
        <f>40-2-36.8</f>
        <v>1.2000000000000028</v>
      </c>
      <c r="G196" s="10">
        <v>1.1106799999999999</v>
      </c>
      <c r="H196" s="97">
        <f t="shared" si="25"/>
        <v>92.556666666666445</v>
      </c>
    </row>
    <row r="197" spans="1:8" ht="31.5" x14ac:dyDescent="0.2">
      <c r="A197" s="132" t="s">
        <v>1008</v>
      </c>
      <c r="B197" s="133" t="s">
        <v>988</v>
      </c>
      <c r="C197" s="133" t="s">
        <v>1009</v>
      </c>
      <c r="D197" s="133"/>
      <c r="E197" s="133"/>
      <c r="F197" s="134">
        <f>F198+F221+F228+F247</f>
        <v>51014</v>
      </c>
      <c r="G197" s="134">
        <f>G198+G221+G228+G247</f>
        <v>50520.939590000002</v>
      </c>
      <c r="H197" s="131">
        <f t="shared" si="25"/>
        <v>99.033480201513314</v>
      </c>
    </row>
    <row r="198" spans="1:8" ht="31.5" x14ac:dyDescent="0.2">
      <c r="A198" s="132" t="s">
        <v>991</v>
      </c>
      <c r="B198" s="133" t="s">
        <v>992</v>
      </c>
      <c r="C198" s="133" t="s">
        <v>1009</v>
      </c>
      <c r="D198" s="133" t="s">
        <v>156</v>
      </c>
      <c r="E198" s="133"/>
      <c r="F198" s="134">
        <f>F199</f>
        <v>32548</v>
      </c>
      <c r="G198" s="134">
        <f t="shared" ref="G198" si="40">G199</f>
        <v>32180.091</v>
      </c>
      <c r="H198" s="131">
        <f t="shared" si="25"/>
        <v>98.869641759862361</v>
      </c>
    </row>
    <row r="199" spans="1:8" ht="18.75" x14ac:dyDescent="0.2">
      <c r="A199" s="135" t="s">
        <v>349</v>
      </c>
      <c r="B199" s="136" t="s">
        <v>988</v>
      </c>
      <c r="C199" s="136" t="s">
        <v>1009</v>
      </c>
      <c r="D199" s="137" t="s">
        <v>350</v>
      </c>
      <c r="E199" s="148"/>
      <c r="F199" s="138">
        <f>F200+F205+F210</f>
        <v>32548</v>
      </c>
      <c r="G199" s="138">
        <f>G200+G205+G210</f>
        <v>32180.091</v>
      </c>
      <c r="H199" s="131">
        <f t="shared" si="25"/>
        <v>98.869641759862361</v>
      </c>
    </row>
    <row r="200" spans="1:8" ht="31.5" x14ac:dyDescent="0.2">
      <c r="A200" s="132" t="s">
        <v>1003</v>
      </c>
      <c r="B200" s="133" t="s">
        <v>988</v>
      </c>
      <c r="C200" s="133" t="s">
        <v>1009</v>
      </c>
      <c r="D200" s="139" t="s">
        <v>352</v>
      </c>
      <c r="E200" s="161"/>
      <c r="F200" s="134">
        <f t="shared" ref="F200:G203" si="41">F201</f>
        <v>87</v>
      </c>
      <c r="G200" s="134">
        <f t="shared" si="41"/>
        <v>86.58</v>
      </c>
      <c r="H200" s="131">
        <f t="shared" si="25"/>
        <v>99.517241379310335</v>
      </c>
    </row>
    <row r="201" spans="1:8" ht="63" x14ac:dyDescent="0.2">
      <c r="A201" s="140" t="s">
        <v>704</v>
      </c>
      <c r="B201" s="148" t="s">
        <v>992</v>
      </c>
      <c r="C201" s="148" t="s">
        <v>1009</v>
      </c>
      <c r="D201" s="142" t="s">
        <v>353</v>
      </c>
      <c r="E201" s="148"/>
      <c r="F201" s="144">
        <f t="shared" si="41"/>
        <v>87</v>
      </c>
      <c r="G201" s="144">
        <f t="shared" si="41"/>
        <v>86.58</v>
      </c>
      <c r="H201" s="131">
        <f t="shared" ref="H201:H258" si="42">G201/F201*100</f>
        <v>99.517241379310335</v>
      </c>
    </row>
    <row r="202" spans="1:8" ht="18.75" x14ac:dyDescent="0.2">
      <c r="A202" s="145" t="s">
        <v>871</v>
      </c>
      <c r="B202" s="141" t="s">
        <v>988</v>
      </c>
      <c r="C202" s="141" t="s">
        <v>1009</v>
      </c>
      <c r="D202" s="146" t="s">
        <v>353</v>
      </c>
      <c r="E202" s="141" t="s">
        <v>15</v>
      </c>
      <c r="F202" s="147">
        <f t="shared" si="41"/>
        <v>87</v>
      </c>
      <c r="G202" s="147">
        <f t="shared" si="41"/>
        <v>86.58</v>
      </c>
      <c r="H202" s="131">
        <f t="shared" si="42"/>
        <v>99.517241379310335</v>
      </c>
    </row>
    <row r="203" spans="1:8" ht="31.5" x14ac:dyDescent="0.2">
      <c r="A203" s="145" t="s">
        <v>17</v>
      </c>
      <c r="B203" s="141" t="s">
        <v>988</v>
      </c>
      <c r="C203" s="141" t="s">
        <v>1009</v>
      </c>
      <c r="D203" s="146" t="s">
        <v>353</v>
      </c>
      <c r="E203" s="141" t="s">
        <v>16</v>
      </c>
      <c r="F203" s="147">
        <f t="shared" si="41"/>
        <v>87</v>
      </c>
      <c r="G203" s="147">
        <f t="shared" si="41"/>
        <v>86.58</v>
      </c>
      <c r="H203" s="131">
        <f t="shared" si="42"/>
        <v>99.517241379310335</v>
      </c>
    </row>
    <row r="204" spans="1:8" s="82" customFormat="1" ht="18.75" hidden="1" x14ac:dyDescent="0.2">
      <c r="A204" s="3" t="s">
        <v>548</v>
      </c>
      <c r="B204" s="2" t="s">
        <v>988</v>
      </c>
      <c r="C204" s="2" t="s">
        <v>1009</v>
      </c>
      <c r="D204" s="4" t="s">
        <v>353</v>
      </c>
      <c r="E204" s="2" t="s">
        <v>67</v>
      </c>
      <c r="F204" s="62">
        <f>100+40-20-33</f>
        <v>87</v>
      </c>
      <c r="G204" s="62">
        <v>86.58</v>
      </c>
      <c r="H204" s="97">
        <f t="shared" si="42"/>
        <v>99.517241379310335</v>
      </c>
    </row>
    <row r="205" spans="1:8" ht="31.5" x14ac:dyDescent="0.2">
      <c r="A205" s="132" t="s">
        <v>138</v>
      </c>
      <c r="B205" s="133" t="s">
        <v>988</v>
      </c>
      <c r="C205" s="133" t="s">
        <v>1009</v>
      </c>
      <c r="D205" s="139" t="s">
        <v>351</v>
      </c>
      <c r="E205" s="161"/>
      <c r="F205" s="134">
        <f t="shared" ref="F205:G208" si="43">F206</f>
        <v>140</v>
      </c>
      <c r="G205" s="134">
        <f t="shared" si="43"/>
        <v>139.19999999999999</v>
      </c>
      <c r="H205" s="131">
        <f t="shared" si="42"/>
        <v>99.428571428571416</v>
      </c>
    </row>
    <row r="206" spans="1:8" ht="18.75" x14ac:dyDescent="0.2">
      <c r="A206" s="140" t="s">
        <v>354</v>
      </c>
      <c r="B206" s="148" t="s">
        <v>988</v>
      </c>
      <c r="C206" s="148" t="s">
        <v>1009</v>
      </c>
      <c r="D206" s="142" t="s">
        <v>356</v>
      </c>
      <c r="E206" s="148"/>
      <c r="F206" s="144">
        <f t="shared" si="43"/>
        <v>140</v>
      </c>
      <c r="G206" s="144">
        <f t="shared" si="43"/>
        <v>139.19999999999999</v>
      </c>
      <c r="H206" s="131">
        <f t="shared" si="42"/>
        <v>99.428571428571416</v>
      </c>
    </row>
    <row r="207" spans="1:8" ht="18.75" x14ac:dyDescent="0.2">
      <c r="A207" s="145" t="s">
        <v>871</v>
      </c>
      <c r="B207" s="141" t="s">
        <v>988</v>
      </c>
      <c r="C207" s="141" t="s">
        <v>1009</v>
      </c>
      <c r="D207" s="146" t="s">
        <v>356</v>
      </c>
      <c r="E207" s="141" t="s">
        <v>15</v>
      </c>
      <c r="F207" s="147">
        <f t="shared" si="43"/>
        <v>140</v>
      </c>
      <c r="G207" s="147">
        <f t="shared" si="43"/>
        <v>139.19999999999999</v>
      </c>
      <c r="H207" s="131">
        <f t="shared" si="42"/>
        <v>99.428571428571416</v>
      </c>
    </row>
    <row r="208" spans="1:8" ht="31.5" x14ac:dyDescent="0.2">
      <c r="A208" s="145" t="s">
        <v>17</v>
      </c>
      <c r="B208" s="141" t="s">
        <v>992</v>
      </c>
      <c r="C208" s="141" t="s">
        <v>1009</v>
      </c>
      <c r="D208" s="146" t="s">
        <v>356</v>
      </c>
      <c r="E208" s="141" t="s">
        <v>16</v>
      </c>
      <c r="F208" s="147">
        <f t="shared" si="43"/>
        <v>140</v>
      </c>
      <c r="G208" s="147">
        <f t="shared" si="43"/>
        <v>139.19999999999999</v>
      </c>
      <c r="H208" s="131">
        <f t="shared" si="42"/>
        <v>99.428571428571416</v>
      </c>
    </row>
    <row r="209" spans="1:8" s="82" customFormat="1" ht="18.75" hidden="1" x14ac:dyDescent="0.2">
      <c r="A209" s="3" t="s">
        <v>548</v>
      </c>
      <c r="B209" s="2" t="s">
        <v>988</v>
      </c>
      <c r="C209" s="2" t="s">
        <v>1009</v>
      </c>
      <c r="D209" s="4" t="s">
        <v>356</v>
      </c>
      <c r="E209" s="2" t="s">
        <v>67</v>
      </c>
      <c r="F209" s="62">
        <f>50+35+55</f>
        <v>140</v>
      </c>
      <c r="G209" s="62">
        <v>139.19999999999999</v>
      </c>
      <c r="H209" s="97">
        <f t="shared" si="42"/>
        <v>99.428571428571416</v>
      </c>
    </row>
    <row r="210" spans="1:8" ht="31.5" x14ac:dyDescent="0.2">
      <c r="A210" s="132" t="s">
        <v>362</v>
      </c>
      <c r="B210" s="133" t="s">
        <v>988</v>
      </c>
      <c r="C210" s="133" t="s">
        <v>1009</v>
      </c>
      <c r="D210" s="139" t="s">
        <v>357</v>
      </c>
      <c r="E210" s="136"/>
      <c r="F210" s="134">
        <f>F211</f>
        <v>32321</v>
      </c>
      <c r="G210" s="134">
        <f>G211</f>
        <v>31954.311000000002</v>
      </c>
      <c r="H210" s="131">
        <f t="shared" si="42"/>
        <v>98.86547755329353</v>
      </c>
    </row>
    <row r="211" spans="1:8" ht="18.75" x14ac:dyDescent="0.2">
      <c r="A211" s="140" t="s">
        <v>1004</v>
      </c>
      <c r="B211" s="148" t="s">
        <v>988</v>
      </c>
      <c r="C211" s="148" t="s">
        <v>1009</v>
      </c>
      <c r="D211" s="142" t="s">
        <v>359</v>
      </c>
      <c r="E211" s="148"/>
      <c r="F211" s="144">
        <f>F212+F217</f>
        <v>32321</v>
      </c>
      <c r="G211" s="144">
        <f>G212+G217</f>
        <v>31954.311000000002</v>
      </c>
      <c r="H211" s="131">
        <f t="shared" si="42"/>
        <v>98.86547755329353</v>
      </c>
    </row>
    <row r="212" spans="1:8" ht="47.25" x14ac:dyDescent="0.2">
      <c r="A212" s="145" t="s">
        <v>35</v>
      </c>
      <c r="B212" s="141" t="s">
        <v>988</v>
      </c>
      <c r="C212" s="141" t="s">
        <v>1009</v>
      </c>
      <c r="D212" s="146" t="s">
        <v>359</v>
      </c>
      <c r="E212" s="141">
        <v>100</v>
      </c>
      <c r="F212" s="147">
        <f>F213</f>
        <v>31128</v>
      </c>
      <c r="G212" s="147">
        <f>G213</f>
        <v>30835.7526</v>
      </c>
      <c r="H212" s="131">
        <f t="shared" si="42"/>
        <v>99.061143022359289</v>
      </c>
    </row>
    <row r="213" spans="1:8" ht="18.75" x14ac:dyDescent="0.2">
      <c r="A213" s="145" t="s">
        <v>8</v>
      </c>
      <c r="B213" s="141" t="s">
        <v>988</v>
      </c>
      <c r="C213" s="141" t="s">
        <v>1009</v>
      </c>
      <c r="D213" s="146" t="s">
        <v>359</v>
      </c>
      <c r="E213" s="141">
        <v>120</v>
      </c>
      <c r="F213" s="147">
        <f>F214+F215+F216</f>
        <v>31128</v>
      </c>
      <c r="G213" s="147">
        <f>G214+G215+G216</f>
        <v>30835.7526</v>
      </c>
      <c r="H213" s="131">
        <f t="shared" si="42"/>
        <v>99.061143022359289</v>
      </c>
    </row>
    <row r="214" spans="1:8" s="82" customFormat="1" ht="18.75" hidden="1" x14ac:dyDescent="0.2">
      <c r="A214" s="3" t="s">
        <v>224</v>
      </c>
      <c r="B214" s="2" t="s">
        <v>988</v>
      </c>
      <c r="C214" s="2" t="s">
        <v>1009</v>
      </c>
      <c r="D214" s="4" t="s">
        <v>359</v>
      </c>
      <c r="E214" s="2" t="s">
        <v>64</v>
      </c>
      <c r="F214" s="62">
        <f>16139+1614+958.26496+57</f>
        <v>18768.26496</v>
      </c>
      <c r="G214" s="62">
        <v>18565.179649999998</v>
      </c>
      <c r="H214" s="97">
        <f t="shared" si="42"/>
        <v>98.917932422454442</v>
      </c>
    </row>
    <row r="215" spans="1:8" s="82" customFormat="1" ht="31.5" hidden="1" x14ac:dyDescent="0.2">
      <c r="A215" s="3" t="s">
        <v>65</v>
      </c>
      <c r="B215" s="2" t="s">
        <v>992</v>
      </c>
      <c r="C215" s="2" t="s">
        <v>1009</v>
      </c>
      <c r="D215" s="4" t="s">
        <v>359</v>
      </c>
      <c r="E215" s="2" t="s">
        <v>66</v>
      </c>
      <c r="F215" s="62">
        <f>5556+556-1-863.26496</f>
        <v>5247.7350399999996</v>
      </c>
      <c r="G215" s="62">
        <v>5247.7350399999996</v>
      </c>
      <c r="H215" s="97">
        <f t="shared" si="42"/>
        <v>100</v>
      </c>
    </row>
    <row r="216" spans="1:8" s="82" customFormat="1" ht="47.25" hidden="1" x14ac:dyDescent="0.2">
      <c r="A216" s="3" t="s">
        <v>140</v>
      </c>
      <c r="B216" s="2" t="s">
        <v>988</v>
      </c>
      <c r="C216" s="2" t="s">
        <v>1009</v>
      </c>
      <c r="D216" s="4" t="s">
        <v>359</v>
      </c>
      <c r="E216" s="2" t="s">
        <v>139</v>
      </c>
      <c r="F216" s="62">
        <f>6552+655-95</f>
        <v>7112</v>
      </c>
      <c r="G216" s="62">
        <v>7022.8379100000002</v>
      </c>
      <c r="H216" s="97">
        <f t="shared" si="42"/>
        <v>98.746314820022491</v>
      </c>
    </row>
    <row r="217" spans="1:8" ht="18.75" x14ac:dyDescent="0.2">
      <c r="A217" s="145" t="s">
        <v>871</v>
      </c>
      <c r="B217" s="141" t="s">
        <v>988</v>
      </c>
      <c r="C217" s="141" t="s">
        <v>1009</v>
      </c>
      <c r="D217" s="146" t="s">
        <v>359</v>
      </c>
      <c r="E217" s="141">
        <v>200</v>
      </c>
      <c r="F217" s="160">
        <f>F218</f>
        <v>1193</v>
      </c>
      <c r="G217" s="160">
        <f>G218</f>
        <v>1118.5583999999999</v>
      </c>
      <c r="H217" s="131">
        <f t="shared" si="42"/>
        <v>93.760134115674759</v>
      </c>
    </row>
    <row r="218" spans="1:8" ht="31.5" x14ac:dyDescent="0.2">
      <c r="A218" s="145" t="s">
        <v>17</v>
      </c>
      <c r="B218" s="141" t="s">
        <v>988</v>
      </c>
      <c r="C218" s="141" t="s">
        <v>1009</v>
      </c>
      <c r="D218" s="146" t="s">
        <v>359</v>
      </c>
      <c r="E218" s="141">
        <v>240</v>
      </c>
      <c r="F218" s="160">
        <f>F219+F220</f>
        <v>1193</v>
      </c>
      <c r="G218" s="160">
        <f>G219+G220</f>
        <v>1118.5583999999999</v>
      </c>
      <c r="H218" s="131">
        <f t="shared" si="42"/>
        <v>93.760134115674759</v>
      </c>
    </row>
    <row r="219" spans="1:8" s="82" customFormat="1" ht="31.5" hidden="1" x14ac:dyDescent="0.2">
      <c r="A219" s="28" t="s">
        <v>367</v>
      </c>
      <c r="B219" s="2" t="s">
        <v>988</v>
      </c>
      <c r="C219" s="2" t="s">
        <v>1009</v>
      </c>
      <c r="D219" s="4" t="s">
        <v>359</v>
      </c>
      <c r="E219" s="2" t="s">
        <v>368</v>
      </c>
      <c r="F219" s="62">
        <f>822-35</f>
        <v>787</v>
      </c>
      <c r="G219" s="62">
        <v>746.04317000000003</v>
      </c>
      <c r="H219" s="97">
        <f t="shared" si="42"/>
        <v>94.795828462515885</v>
      </c>
    </row>
    <row r="220" spans="1:8" s="82" customFormat="1" ht="18.75" hidden="1" x14ac:dyDescent="0.2">
      <c r="A220" s="3" t="s">
        <v>548</v>
      </c>
      <c r="B220" s="2" t="s">
        <v>988</v>
      </c>
      <c r="C220" s="2" t="s">
        <v>1009</v>
      </c>
      <c r="D220" s="4" t="s">
        <v>359</v>
      </c>
      <c r="E220" s="2" t="s">
        <v>67</v>
      </c>
      <c r="F220" s="62">
        <f>669-198-65</f>
        <v>406</v>
      </c>
      <c r="G220" s="62">
        <v>372.51522999999997</v>
      </c>
      <c r="H220" s="97">
        <f t="shared" si="42"/>
        <v>91.752519704433482</v>
      </c>
    </row>
    <row r="221" spans="1:8" ht="47.25" x14ac:dyDescent="0.2">
      <c r="A221" s="132" t="s">
        <v>1010</v>
      </c>
      <c r="B221" s="133" t="s">
        <v>992</v>
      </c>
      <c r="C221" s="133" t="s">
        <v>1009</v>
      </c>
      <c r="D221" s="133" t="s">
        <v>341</v>
      </c>
      <c r="E221" s="133"/>
      <c r="F221" s="134">
        <f t="shared" ref="F221:G226" si="44">F222</f>
        <v>3250</v>
      </c>
      <c r="G221" s="134">
        <f t="shared" si="44"/>
        <v>3250</v>
      </c>
      <c r="H221" s="131">
        <f t="shared" si="42"/>
        <v>100</v>
      </c>
    </row>
    <row r="222" spans="1:8" ht="63" x14ac:dyDescent="0.2">
      <c r="A222" s="135" t="s">
        <v>537</v>
      </c>
      <c r="B222" s="136" t="s">
        <v>992</v>
      </c>
      <c r="C222" s="136" t="s">
        <v>1009</v>
      </c>
      <c r="D222" s="137" t="s">
        <v>420</v>
      </c>
      <c r="E222" s="136"/>
      <c r="F222" s="138">
        <f t="shared" si="44"/>
        <v>3250</v>
      </c>
      <c r="G222" s="138">
        <f t="shared" si="44"/>
        <v>3250</v>
      </c>
      <c r="H222" s="131">
        <f t="shared" si="42"/>
        <v>100</v>
      </c>
    </row>
    <row r="223" spans="1:8" ht="31.5" x14ac:dyDescent="0.2">
      <c r="A223" s="132" t="s">
        <v>171</v>
      </c>
      <c r="B223" s="133" t="s">
        <v>992</v>
      </c>
      <c r="C223" s="133" t="s">
        <v>1009</v>
      </c>
      <c r="D223" s="139" t="s">
        <v>421</v>
      </c>
      <c r="E223" s="133"/>
      <c r="F223" s="134">
        <f t="shared" si="44"/>
        <v>3250</v>
      </c>
      <c r="G223" s="134">
        <f t="shared" si="44"/>
        <v>3250</v>
      </c>
      <c r="H223" s="131">
        <f t="shared" si="42"/>
        <v>100</v>
      </c>
    </row>
    <row r="224" spans="1:8" ht="18.75" x14ac:dyDescent="0.2">
      <c r="A224" s="140" t="s">
        <v>123</v>
      </c>
      <c r="B224" s="148" t="s">
        <v>992</v>
      </c>
      <c r="C224" s="148" t="s">
        <v>1009</v>
      </c>
      <c r="D224" s="148" t="s">
        <v>422</v>
      </c>
      <c r="E224" s="149"/>
      <c r="F224" s="144">
        <f t="shared" si="44"/>
        <v>3250</v>
      </c>
      <c r="G224" s="144">
        <f t="shared" si="44"/>
        <v>3250</v>
      </c>
      <c r="H224" s="131">
        <f t="shared" si="42"/>
        <v>100</v>
      </c>
    </row>
    <row r="225" spans="1:8" ht="18.75" x14ac:dyDescent="0.2">
      <c r="A225" s="145" t="s">
        <v>871</v>
      </c>
      <c r="B225" s="141" t="s">
        <v>992</v>
      </c>
      <c r="C225" s="141" t="s">
        <v>1009</v>
      </c>
      <c r="D225" s="141" t="s">
        <v>422</v>
      </c>
      <c r="E225" s="141" t="s">
        <v>15</v>
      </c>
      <c r="F225" s="147">
        <f t="shared" si="44"/>
        <v>3250</v>
      </c>
      <c r="G225" s="147">
        <f t="shared" si="44"/>
        <v>3250</v>
      </c>
      <c r="H225" s="131">
        <f t="shared" si="42"/>
        <v>100</v>
      </c>
    </row>
    <row r="226" spans="1:8" ht="31.5" x14ac:dyDescent="0.2">
      <c r="A226" s="145" t="s">
        <v>17</v>
      </c>
      <c r="B226" s="141" t="s">
        <v>992</v>
      </c>
      <c r="C226" s="141" t="s">
        <v>1009</v>
      </c>
      <c r="D226" s="141" t="s">
        <v>422</v>
      </c>
      <c r="E226" s="141" t="s">
        <v>16</v>
      </c>
      <c r="F226" s="147">
        <f t="shared" si="44"/>
        <v>3250</v>
      </c>
      <c r="G226" s="147">
        <f t="shared" si="44"/>
        <v>3250</v>
      </c>
      <c r="H226" s="131">
        <f t="shared" si="42"/>
        <v>100</v>
      </c>
    </row>
    <row r="227" spans="1:8" s="82" customFormat="1" ht="31.5" hidden="1" x14ac:dyDescent="0.2">
      <c r="A227" s="28" t="s">
        <v>389</v>
      </c>
      <c r="B227" s="2" t="s">
        <v>988</v>
      </c>
      <c r="C227" s="2" t="s">
        <v>1009</v>
      </c>
      <c r="D227" s="2" t="s">
        <v>422</v>
      </c>
      <c r="E227" s="33" t="s">
        <v>368</v>
      </c>
      <c r="F227" s="10">
        <f>3300-50</f>
        <v>3250</v>
      </c>
      <c r="G227" s="10">
        <v>3250</v>
      </c>
      <c r="H227" s="97">
        <f t="shared" si="42"/>
        <v>100</v>
      </c>
    </row>
    <row r="228" spans="1:8" ht="31.5" x14ac:dyDescent="0.2">
      <c r="A228" s="132" t="s">
        <v>995</v>
      </c>
      <c r="B228" s="133" t="s">
        <v>992</v>
      </c>
      <c r="C228" s="133" t="s">
        <v>1009</v>
      </c>
      <c r="D228" s="133" t="s">
        <v>157</v>
      </c>
      <c r="E228" s="133"/>
      <c r="F228" s="134">
        <f>F229+F242</f>
        <v>15215</v>
      </c>
      <c r="G228" s="134">
        <f>G229+G242</f>
        <v>15089.848590000001</v>
      </c>
      <c r="H228" s="131">
        <f t="shared" si="42"/>
        <v>99.177447190272773</v>
      </c>
    </row>
    <row r="229" spans="1:8" ht="18.75" x14ac:dyDescent="0.2">
      <c r="A229" s="140" t="s">
        <v>1</v>
      </c>
      <c r="B229" s="148" t="s">
        <v>988</v>
      </c>
      <c r="C229" s="148" t="s">
        <v>1009</v>
      </c>
      <c r="D229" s="148" t="s">
        <v>158</v>
      </c>
      <c r="E229" s="149"/>
      <c r="F229" s="144">
        <f>F230+F235+F239</f>
        <v>13085</v>
      </c>
      <c r="G229" s="144">
        <f>G230+G235+G239</f>
        <v>12992.99459</v>
      </c>
      <c r="H229" s="131">
        <f t="shared" si="42"/>
        <v>99.296863507833393</v>
      </c>
    </row>
    <row r="230" spans="1:8" ht="47.25" x14ac:dyDescent="0.2">
      <c r="A230" s="145" t="s">
        <v>27</v>
      </c>
      <c r="B230" s="148" t="s">
        <v>992</v>
      </c>
      <c r="C230" s="148" t="s">
        <v>1009</v>
      </c>
      <c r="D230" s="141" t="s">
        <v>158</v>
      </c>
      <c r="E230" s="141">
        <v>100</v>
      </c>
      <c r="F230" s="144">
        <f>F231</f>
        <v>11814</v>
      </c>
      <c r="G230" s="144">
        <f>G231</f>
        <v>11790.175410000002</v>
      </c>
      <c r="H230" s="131">
        <f t="shared" si="42"/>
        <v>99.798335957338765</v>
      </c>
    </row>
    <row r="231" spans="1:8" ht="18.75" x14ac:dyDescent="0.2">
      <c r="A231" s="145" t="s">
        <v>8</v>
      </c>
      <c r="B231" s="141" t="s">
        <v>988</v>
      </c>
      <c r="C231" s="141" t="s">
        <v>1009</v>
      </c>
      <c r="D231" s="141" t="s">
        <v>158</v>
      </c>
      <c r="E231" s="141">
        <v>120</v>
      </c>
      <c r="F231" s="147">
        <f>F232+F233+F234</f>
        <v>11814</v>
      </c>
      <c r="G231" s="147">
        <f>G232+G233+G234</f>
        <v>11790.175410000002</v>
      </c>
      <c r="H231" s="131">
        <f t="shared" si="42"/>
        <v>99.798335957338765</v>
      </c>
    </row>
    <row r="232" spans="1:8" s="82" customFormat="1" ht="18.75" hidden="1" x14ac:dyDescent="0.2">
      <c r="A232" s="3" t="s">
        <v>224</v>
      </c>
      <c r="B232" s="2" t="s">
        <v>988</v>
      </c>
      <c r="C232" s="2" t="s">
        <v>1009</v>
      </c>
      <c r="D232" s="2" t="s">
        <v>158</v>
      </c>
      <c r="E232" s="2" t="s">
        <v>64</v>
      </c>
      <c r="F232" s="62">
        <f>5901+578+466+285</f>
        <v>7230</v>
      </c>
      <c r="G232" s="62">
        <v>7229.1301400000002</v>
      </c>
      <c r="H232" s="97">
        <f t="shared" si="42"/>
        <v>99.987968741355473</v>
      </c>
    </row>
    <row r="233" spans="1:8" s="82" customFormat="1" ht="31.5" hidden="1" x14ac:dyDescent="0.2">
      <c r="A233" s="3" t="s">
        <v>65</v>
      </c>
      <c r="B233" s="2" t="s">
        <v>988</v>
      </c>
      <c r="C233" s="2" t="s">
        <v>1009</v>
      </c>
      <c r="D233" s="2" t="s">
        <v>158</v>
      </c>
      <c r="E233" s="2" t="s">
        <v>66</v>
      </c>
      <c r="F233" s="62">
        <f>2478-1+249-925-1</f>
        <v>1800</v>
      </c>
      <c r="G233" s="62">
        <v>1799.61535</v>
      </c>
      <c r="H233" s="97">
        <f t="shared" si="42"/>
        <v>99.978630555555554</v>
      </c>
    </row>
    <row r="234" spans="1:8" s="82" customFormat="1" ht="47.25" hidden="1" x14ac:dyDescent="0.2">
      <c r="A234" s="3" t="s">
        <v>140</v>
      </c>
      <c r="B234" s="2" t="s">
        <v>988</v>
      </c>
      <c r="C234" s="2" t="s">
        <v>1009</v>
      </c>
      <c r="D234" s="2" t="s">
        <v>158</v>
      </c>
      <c r="E234" s="2" t="s">
        <v>139</v>
      </c>
      <c r="F234" s="62">
        <f>2332+230+19+111+92</f>
        <v>2784</v>
      </c>
      <c r="G234" s="62">
        <v>2761.42992</v>
      </c>
      <c r="H234" s="97">
        <f t="shared" si="42"/>
        <v>99.189293103448279</v>
      </c>
    </row>
    <row r="235" spans="1:8" ht="18.75" x14ac:dyDescent="0.2">
      <c r="A235" s="145" t="s">
        <v>871</v>
      </c>
      <c r="B235" s="141" t="s">
        <v>992</v>
      </c>
      <c r="C235" s="141" t="s">
        <v>1009</v>
      </c>
      <c r="D235" s="141" t="s">
        <v>158</v>
      </c>
      <c r="E235" s="141">
        <v>200</v>
      </c>
      <c r="F235" s="160">
        <f>F236</f>
        <v>1160</v>
      </c>
      <c r="G235" s="160">
        <f t="shared" ref="G235" si="45">G236</f>
        <v>1092.4741799999999</v>
      </c>
      <c r="H235" s="131">
        <f t="shared" si="42"/>
        <v>94.178808620689651</v>
      </c>
    </row>
    <row r="236" spans="1:8" ht="31.5" x14ac:dyDescent="0.2">
      <c r="A236" s="145" t="s">
        <v>17</v>
      </c>
      <c r="B236" s="141" t="s">
        <v>988</v>
      </c>
      <c r="C236" s="141" t="s">
        <v>1009</v>
      </c>
      <c r="D236" s="141" t="s">
        <v>158</v>
      </c>
      <c r="E236" s="141">
        <v>240</v>
      </c>
      <c r="F236" s="160">
        <f>F237+F238-81</f>
        <v>1160</v>
      </c>
      <c r="G236" s="160">
        <f t="shared" ref="G236" si="46">G237+G238</f>
        <v>1092.4741799999999</v>
      </c>
      <c r="H236" s="131">
        <f t="shared" si="42"/>
        <v>94.178808620689651</v>
      </c>
    </row>
    <row r="237" spans="1:8" s="82" customFormat="1" ht="31.5" hidden="1" x14ac:dyDescent="0.2">
      <c r="A237" s="28" t="s">
        <v>367</v>
      </c>
      <c r="B237" s="2" t="s">
        <v>992</v>
      </c>
      <c r="C237" s="2" t="s">
        <v>1009</v>
      </c>
      <c r="D237" s="2" t="s">
        <v>158</v>
      </c>
      <c r="E237" s="2" t="s">
        <v>368</v>
      </c>
      <c r="F237" s="62">
        <f>793-233</f>
        <v>560</v>
      </c>
      <c r="G237" s="62">
        <v>564.74338999999998</v>
      </c>
      <c r="H237" s="97">
        <f t="shared" si="42"/>
        <v>100.84703392857142</v>
      </c>
    </row>
    <row r="238" spans="1:8" s="82" customFormat="1" ht="18.75" hidden="1" x14ac:dyDescent="0.2">
      <c r="A238" s="3" t="s">
        <v>548</v>
      </c>
      <c r="B238" s="2" t="s">
        <v>988</v>
      </c>
      <c r="C238" s="2" t="s">
        <v>1009</v>
      </c>
      <c r="D238" s="2" t="s">
        <v>158</v>
      </c>
      <c r="E238" s="2" t="s">
        <v>67</v>
      </c>
      <c r="F238" s="62">
        <f>815-1-133</f>
        <v>681</v>
      </c>
      <c r="G238" s="62">
        <v>527.73078999999996</v>
      </c>
      <c r="H238" s="97">
        <f t="shared" si="42"/>
        <v>77.493508076358282</v>
      </c>
    </row>
    <row r="239" spans="1:8" ht="18.75" x14ac:dyDescent="0.2">
      <c r="A239" s="145" t="s">
        <v>13</v>
      </c>
      <c r="B239" s="141" t="s">
        <v>988</v>
      </c>
      <c r="C239" s="141" t="s">
        <v>1009</v>
      </c>
      <c r="D239" s="141" t="s">
        <v>158</v>
      </c>
      <c r="E239" s="141">
        <v>800</v>
      </c>
      <c r="F239" s="160">
        <f t="shared" ref="F239:G240" si="47">F240</f>
        <v>111</v>
      </c>
      <c r="G239" s="160">
        <f t="shared" si="47"/>
        <v>110.345</v>
      </c>
      <c r="H239" s="131">
        <f t="shared" si="42"/>
        <v>99.409909909909913</v>
      </c>
    </row>
    <row r="240" spans="1:8" ht="18.75" x14ac:dyDescent="0.2">
      <c r="A240" s="145" t="s">
        <v>32</v>
      </c>
      <c r="B240" s="141" t="s">
        <v>988</v>
      </c>
      <c r="C240" s="141" t="s">
        <v>1009</v>
      </c>
      <c r="D240" s="141" t="s">
        <v>158</v>
      </c>
      <c r="E240" s="141">
        <v>850</v>
      </c>
      <c r="F240" s="160">
        <f>F241</f>
        <v>111</v>
      </c>
      <c r="G240" s="160">
        <f t="shared" si="47"/>
        <v>110.345</v>
      </c>
      <c r="H240" s="131">
        <f t="shared" si="42"/>
        <v>99.409909909909913</v>
      </c>
    </row>
    <row r="241" spans="1:8" s="82" customFormat="1" ht="18.75" hidden="1" x14ac:dyDescent="0.2">
      <c r="A241" s="3" t="s">
        <v>68</v>
      </c>
      <c r="B241" s="2" t="s">
        <v>988</v>
      </c>
      <c r="C241" s="2" t="s">
        <v>1009</v>
      </c>
      <c r="D241" s="2" t="s">
        <v>158</v>
      </c>
      <c r="E241" s="2" t="s">
        <v>69</v>
      </c>
      <c r="F241" s="62">
        <f>120-9</f>
        <v>111</v>
      </c>
      <c r="G241" s="62">
        <v>110.345</v>
      </c>
      <c r="H241" s="97">
        <f t="shared" si="42"/>
        <v>99.409909909909913</v>
      </c>
    </row>
    <row r="242" spans="1:8" ht="18.75" x14ac:dyDescent="0.2">
      <c r="A242" s="140" t="s">
        <v>44</v>
      </c>
      <c r="B242" s="148" t="s">
        <v>988</v>
      </c>
      <c r="C242" s="148" t="s">
        <v>1009</v>
      </c>
      <c r="D242" s="148" t="s">
        <v>159</v>
      </c>
      <c r="E242" s="148"/>
      <c r="F242" s="144">
        <f t="shared" ref="F242:G243" si="48">F243</f>
        <v>2130</v>
      </c>
      <c r="G242" s="144">
        <f t="shared" si="48"/>
        <v>2096.8540000000003</v>
      </c>
      <c r="H242" s="131">
        <f t="shared" si="42"/>
        <v>98.443849765258236</v>
      </c>
    </row>
    <row r="243" spans="1:8" ht="47.25" x14ac:dyDescent="0.2">
      <c r="A243" s="145" t="s">
        <v>27</v>
      </c>
      <c r="B243" s="141" t="s">
        <v>988</v>
      </c>
      <c r="C243" s="141" t="s">
        <v>1009</v>
      </c>
      <c r="D243" s="141" t="s">
        <v>159</v>
      </c>
      <c r="E243" s="141">
        <v>100</v>
      </c>
      <c r="F243" s="147">
        <f t="shared" si="48"/>
        <v>2130</v>
      </c>
      <c r="G243" s="147">
        <f t="shared" si="48"/>
        <v>2096.8540000000003</v>
      </c>
      <c r="H243" s="131">
        <f t="shared" si="42"/>
        <v>98.443849765258236</v>
      </c>
    </row>
    <row r="244" spans="1:8" ht="18.75" x14ac:dyDescent="0.2">
      <c r="A244" s="145" t="s">
        <v>8</v>
      </c>
      <c r="B244" s="141" t="s">
        <v>988</v>
      </c>
      <c r="C244" s="141" t="s">
        <v>1009</v>
      </c>
      <c r="D244" s="141" t="s">
        <v>159</v>
      </c>
      <c r="E244" s="141">
        <v>120</v>
      </c>
      <c r="F244" s="147">
        <f>F245+F246</f>
        <v>2130</v>
      </c>
      <c r="G244" s="147">
        <f t="shared" ref="G244" si="49">G245+G246</f>
        <v>2096.8540000000003</v>
      </c>
      <c r="H244" s="131">
        <f t="shared" si="42"/>
        <v>98.443849765258236</v>
      </c>
    </row>
    <row r="245" spans="1:8" s="82" customFormat="1" ht="18.75" hidden="1" x14ac:dyDescent="0.2">
      <c r="A245" s="3" t="s">
        <v>224</v>
      </c>
      <c r="B245" s="2" t="s">
        <v>988</v>
      </c>
      <c r="C245" s="2" t="s">
        <v>1009</v>
      </c>
      <c r="D245" s="2" t="s">
        <v>159</v>
      </c>
      <c r="E245" s="2" t="s">
        <v>64</v>
      </c>
      <c r="F245" s="62">
        <f>1244+125+348</f>
        <v>1717</v>
      </c>
      <c r="G245" s="62">
        <v>1692.7381600000001</v>
      </c>
      <c r="H245" s="97">
        <f t="shared" si="42"/>
        <v>98.58696330809552</v>
      </c>
    </row>
    <row r="246" spans="1:8" s="82" customFormat="1" ht="47.25" hidden="1" x14ac:dyDescent="0.2">
      <c r="A246" s="3" t="s">
        <v>140</v>
      </c>
      <c r="B246" s="2" t="s">
        <v>988</v>
      </c>
      <c r="C246" s="2" t="s">
        <v>1009</v>
      </c>
      <c r="D246" s="2" t="s">
        <v>159</v>
      </c>
      <c r="E246" s="2" t="s">
        <v>139</v>
      </c>
      <c r="F246" s="62">
        <f>375+38</f>
        <v>413</v>
      </c>
      <c r="G246" s="62">
        <v>404.11583999999999</v>
      </c>
      <c r="H246" s="97">
        <f t="shared" si="42"/>
        <v>97.848871670702181</v>
      </c>
    </row>
    <row r="247" spans="1:8" ht="18.75" x14ac:dyDescent="0.2">
      <c r="A247" s="132" t="s">
        <v>1011</v>
      </c>
      <c r="B247" s="133" t="s">
        <v>988</v>
      </c>
      <c r="C247" s="133" t="s">
        <v>1009</v>
      </c>
      <c r="D247" s="133" t="s">
        <v>161</v>
      </c>
      <c r="E247" s="133"/>
      <c r="F247" s="164">
        <f t="shared" ref="F247:G250" si="50">F248</f>
        <v>1</v>
      </c>
      <c r="G247" s="164">
        <f t="shared" si="50"/>
        <v>1</v>
      </c>
      <c r="H247" s="131">
        <f t="shared" si="42"/>
        <v>100</v>
      </c>
    </row>
    <row r="248" spans="1:8" ht="18.75" x14ac:dyDescent="0.2">
      <c r="A248" s="140" t="s">
        <v>455</v>
      </c>
      <c r="B248" s="141" t="s">
        <v>988</v>
      </c>
      <c r="C248" s="141" t="s">
        <v>1009</v>
      </c>
      <c r="D248" s="141" t="s">
        <v>463</v>
      </c>
      <c r="E248" s="141"/>
      <c r="F248" s="160">
        <f>F249</f>
        <v>1</v>
      </c>
      <c r="G248" s="160">
        <f>G249</f>
        <v>1</v>
      </c>
      <c r="H248" s="131">
        <f t="shared" si="42"/>
        <v>100</v>
      </c>
    </row>
    <row r="249" spans="1:8" ht="18.75" x14ac:dyDescent="0.2">
      <c r="A249" s="145" t="s">
        <v>13</v>
      </c>
      <c r="B249" s="141" t="s">
        <v>988</v>
      </c>
      <c r="C249" s="141" t="s">
        <v>1009</v>
      </c>
      <c r="D249" s="141" t="s">
        <v>463</v>
      </c>
      <c r="E249" s="141" t="s">
        <v>14</v>
      </c>
      <c r="F249" s="160">
        <f t="shared" si="50"/>
        <v>1</v>
      </c>
      <c r="G249" s="160">
        <f t="shared" si="50"/>
        <v>1</v>
      </c>
      <c r="H249" s="131">
        <f t="shared" si="42"/>
        <v>100</v>
      </c>
    </row>
    <row r="250" spans="1:8" ht="18.75" x14ac:dyDescent="0.2">
      <c r="A250" s="145" t="s">
        <v>32</v>
      </c>
      <c r="B250" s="141" t="s">
        <v>988</v>
      </c>
      <c r="C250" s="141" t="s">
        <v>1009</v>
      </c>
      <c r="D250" s="141" t="s">
        <v>463</v>
      </c>
      <c r="E250" s="141" t="s">
        <v>457</v>
      </c>
      <c r="F250" s="160">
        <f t="shared" si="50"/>
        <v>1</v>
      </c>
      <c r="G250" s="160">
        <f t="shared" si="50"/>
        <v>1</v>
      </c>
      <c r="H250" s="131">
        <f t="shared" si="42"/>
        <v>100</v>
      </c>
    </row>
    <row r="251" spans="1:8" s="82" customFormat="1" ht="18.75" hidden="1" x14ac:dyDescent="0.2">
      <c r="A251" s="3" t="s">
        <v>1007</v>
      </c>
      <c r="B251" s="2" t="s">
        <v>988</v>
      </c>
      <c r="C251" s="2" t="s">
        <v>1009</v>
      </c>
      <c r="D251" s="2" t="s">
        <v>463</v>
      </c>
      <c r="E251" s="2" t="s">
        <v>458</v>
      </c>
      <c r="F251" s="62">
        <f>1</f>
        <v>1</v>
      </c>
      <c r="G251" s="62">
        <v>1</v>
      </c>
      <c r="H251" s="97">
        <f t="shared" si="42"/>
        <v>100</v>
      </c>
    </row>
    <row r="252" spans="1:8" ht="18.75" x14ac:dyDescent="0.2">
      <c r="A252" s="132" t="s">
        <v>1012</v>
      </c>
      <c r="B252" s="133" t="s">
        <v>992</v>
      </c>
      <c r="C252" s="133" t="s">
        <v>1013</v>
      </c>
      <c r="D252" s="133"/>
      <c r="E252" s="133"/>
      <c r="F252" s="134">
        <f t="shared" ref="F252:G255" si="51">F253</f>
        <v>8948</v>
      </c>
      <c r="G252" s="134">
        <f t="shared" si="51"/>
        <v>8753.0625099999997</v>
      </c>
      <c r="H252" s="131">
        <f t="shared" si="42"/>
        <v>97.821440657130083</v>
      </c>
    </row>
    <row r="253" spans="1:8" ht="31.5" x14ac:dyDescent="0.2">
      <c r="A253" s="132" t="s">
        <v>1014</v>
      </c>
      <c r="B253" s="133" t="s">
        <v>992</v>
      </c>
      <c r="C253" s="133" t="s">
        <v>1013</v>
      </c>
      <c r="D253" s="133" t="s">
        <v>156</v>
      </c>
      <c r="E253" s="133"/>
      <c r="F253" s="134">
        <f t="shared" si="51"/>
        <v>8948</v>
      </c>
      <c r="G253" s="134">
        <f t="shared" si="51"/>
        <v>8753.0625099999997</v>
      </c>
      <c r="H253" s="131">
        <f t="shared" si="42"/>
        <v>97.821440657130083</v>
      </c>
    </row>
    <row r="254" spans="1:8" ht="18.75" x14ac:dyDescent="0.2">
      <c r="A254" s="135" t="s">
        <v>349</v>
      </c>
      <c r="B254" s="136" t="s">
        <v>992</v>
      </c>
      <c r="C254" s="136" t="s">
        <v>1013</v>
      </c>
      <c r="D254" s="137" t="s">
        <v>350</v>
      </c>
      <c r="E254" s="136"/>
      <c r="F254" s="138">
        <f t="shared" si="51"/>
        <v>8948</v>
      </c>
      <c r="G254" s="138">
        <f t="shared" si="51"/>
        <v>8753.0625099999997</v>
      </c>
      <c r="H254" s="131">
        <f t="shared" si="42"/>
        <v>97.821440657130083</v>
      </c>
    </row>
    <row r="255" spans="1:8" ht="31.5" x14ac:dyDescent="0.2">
      <c r="A255" s="132" t="s">
        <v>528</v>
      </c>
      <c r="B255" s="141" t="s">
        <v>992</v>
      </c>
      <c r="C255" s="141" t="s">
        <v>1013</v>
      </c>
      <c r="D255" s="139" t="s">
        <v>532</v>
      </c>
      <c r="E255" s="172"/>
      <c r="F255" s="134">
        <f>F256</f>
        <v>8948</v>
      </c>
      <c r="G255" s="134">
        <f t="shared" si="51"/>
        <v>8753.0625099999997</v>
      </c>
      <c r="H255" s="131">
        <f t="shared" si="42"/>
        <v>97.821440657130083</v>
      </c>
    </row>
    <row r="256" spans="1:8" ht="18.75" x14ac:dyDescent="0.2">
      <c r="A256" s="132" t="s">
        <v>529</v>
      </c>
      <c r="B256" s="141" t="s">
        <v>992</v>
      </c>
      <c r="C256" s="141" t="s">
        <v>1013</v>
      </c>
      <c r="D256" s="139" t="s">
        <v>533</v>
      </c>
      <c r="E256" s="172"/>
      <c r="F256" s="134">
        <f>F257+F262</f>
        <v>8948</v>
      </c>
      <c r="G256" s="134">
        <f t="shared" ref="G256" si="52">G257+G262</f>
        <v>8753.0625099999997</v>
      </c>
      <c r="H256" s="131">
        <f t="shared" si="42"/>
        <v>97.821440657130083</v>
      </c>
    </row>
    <row r="257" spans="1:8" ht="47.25" x14ac:dyDescent="0.2">
      <c r="A257" s="145" t="s">
        <v>35</v>
      </c>
      <c r="B257" s="141" t="s">
        <v>992</v>
      </c>
      <c r="C257" s="141" t="s">
        <v>1013</v>
      </c>
      <c r="D257" s="146" t="s">
        <v>533</v>
      </c>
      <c r="E257" s="172" t="s">
        <v>28</v>
      </c>
      <c r="F257" s="147">
        <f>F258</f>
        <v>8904</v>
      </c>
      <c r="G257" s="147">
        <f>G258</f>
        <v>8734.6625100000001</v>
      </c>
      <c r="H257" s="131">
        <f t="shared" si="42"/>
        <v>98.098186320754721</v>
      </c>
    </row>
    <row r="258" spans="1:8" ht="18.75" x14ac:dyDescent="0.2">
      <c r="A258" s="145" t="s">
        <v>8</v>
      </c>
      <c r="B258" s="141" t="s">
        <v>992</v>
      </c>
      <c r="C258" s="141" t="s">
        <v>1013</v>
      </c>
      <c r="D258" s="146" t="s">
        <v>533</v>
      </c>
      <c r="E258" s="172" t="s">
        <v>56</v>
      </c>
      <c r="F258" s="147">
        <f>F259+F261+F260-471</f>
        <v>8904</v>
      </c>
      <c r="G258" s="147">
        <f>G259+G261+G260</f>
        <v>8734.6625100000001</v>
      </c>
      <c r="H258" s="131">
        <f t="shared" si="42"/>
        <v>98.098186320754721</v>
      </c>
    </row>
    <row r="259" spans="1:8" s="82" customFormat="1" ht="18.75" hidden="1" x14ac:dyDescent="0.2">
      <c r="A259" s="3" t="s">
        <v>224</v>
      </c>
      <c r="B259" s="2" t="s">
        <v>992</v>
      </c>
      <c r="C259" s="2" t="s">
        <v>1013</v>
      </c>
      <c r="D259" s="4" t="s">
        <v>533</v>
      </c>
      <c r="E259" s="13" t="s">
        <v>64</v>
      </c>
      <c r="F259" s="62">
        <v>5839</v>
      </c>
      <c r="G259" s="62">
        <v>5640.6626999999999</v>
      </c>
      <c r="H259" s="97">
        <f t="shared" ref="H259:H314" si="53">G259/F259*100</f>
        <v>96.603231717759883</v>
      </c>
    </row>
    <row r="260" spans="1:8" s="82" customFormat="1" ht="31.5" hidden="1" x14ac:dyDescent="0.2">
      <c r="A260" s="3" t="s">
        <v>65</v>
      </c>
      <c r="B260" s="2" t="s">
        <v>992</v>
      </c>
      <c r="C260" s="2" t="s">
        <v>1013</v>
      </c>
      <c r="D260" s="4" t="s">
        <v>533</v>
      </c>
      <c r="E260" s="13" t="s">
        <v>66</v>
      </c>
      <c r="F260" s="62">
        <f>235+71+1080+10-44</f>
        <v>1352</v>
      </c>
      <c r="G260" s="62">
        <v>1052.83728</v>
      </c>
      <c r="H260" s="97">
        <f t="shared" si="53"/>
        <v>77.872579881656804</v>
      </c>
    </row>
    <row r="261" spans="1:8" s="82" customFormat="1" ht="47.25" hidden="1" x14ac:dyDescent="0.2">
      <c r="A261" s="3" t="s">
        <v>140</v>
      </c>
      <c r="B261" s="2" t="s">
        <v>992</v>
      </c>
      <c r="C261" s="2" t="s">
        <v>1013</v>
      </c>
      <c r="D261" s="4" t="s">
        <v>533</v>
      </c>
      <c r="E261" s="13" t="s">
        <v>139</v>
      </c>
      <c r="F261" s="62">
        <f>2089+95</f>
        <v>2184</v>
      </c>
      <c r="G261" s="62">
        <v>2041.1625300000001</v>
      </c>
      <c r="H261" s="97">
        <f t="shared" si="53"/>
        <v>93.459822802197806</v>
      </c>
    </row>
    <row r="262" spans="1:8" ht="18.75" x14ac:dyDescent="0.2">
      <c r="A262" s="145" t="s">
        <v>871</v>
      </c>
      <c r="B262" s="141" t="s">
        <v>992</v>
      </c>
      <c r="C262" s="141" t="s">
        <v>1013</v>
      </c>
      <c r="D262" s="146" t="s">
        <v>533</v>
      </c>
      <c r="E262" s="171" t="s">
        <v>15</v>
      </c>
      <c r="F262" s="160">
        <f>F263</f>
        <v>44</v>
      </c>
      <c r="G262" s="160">
        <f t="shared" ref="G262:G263" si="54">G263</f>
        <v>18.399999999999999</v>
      </c>
      <c r="H262" s="131">
        <f t="shared" si="53"/>
        <v>41.818181818181813</v>
      </c>
    </row>
    <row r="263" spans="1:8" ht="31.5" x14ac:dyDescent="0.2">
      <c r="A263" s="145" t="s">
        <v>17</v>
      </c>
      <c r="B263" s="141" t="s">
        <v>992</v>
      </c>
      <c r="C263" s="141" t="s">
        <v>1013</v>
      </c>
      <c r="D263" s="146" t="s">
        <v>533</v>
      </c>
      <c r="E263" s="171" t="s">
        <v>16</v>
      </c>
      <c r="F263" s="160">
        <f>F264</f>
        <v>44</v>
      </c>
      <c r="G263" s="160">
        <f t="shared" si="54"/>
        <v>18.399999999999999</v>
      </c>
      <c r="H263" s="131">
        <f t="shared" si="53"/>
        <v>41.818181818181813</v>
      </c>
    </row>
    <row r="264" spans="1:8" s="82" customFormat="1" ht="18.75" hidden="1" x14ac:dyDescent="0.2">
      <c r="A264" s="3" t="s">
        <v>548</v>
      </c>
      <c r="B264" s="2" t="s">
        <v>992</v>
      </c>
      <c r="C264" s="2" t="s">
        <v>1013</v>
      </c>
      <c r="D264" s="4" t="s">
        <v>533</v>
      </c>
      <c r="E264" s="13" t="s">
        <v>67</v>
      </c>
      <c r="F264" s="62">
        <v>44</v>
      </c>
      <c r="G264" s="62">
        <v>18.399999999999999</v>
      </c>
      <c r="H264" s="97">
        <f t="shared" si="53"/>
        <v>41.818181818181813</v>
      </c>
    </row>
    <row r="265" spans="1:8" ht="18.75" x14ac:dyDescent="0.2">
      <c r="A265" s="132" t="s">
        <v>1015</v>
      </c>
      <c r="B265" s="133" t="s">
        <v>992</v>
      </c>
      <c r="C265" s="133" t="s">
        <v>1016</v>
      </c>
      <c r="D265" s="133"/>
      <c r="E265" s="133"/>
      <c r="F265" s="134">
        <f>F266+F272</f>
        <v>7094.7889999999998</v>
      </c>
      <c r="G265" s="134">
        <f>G266+G272</f>
        <v>0</v>
      </c>
      <c r="H265" s="131">
        <f t="shared" si="53"/>
        <v>0</v>
      </c>
    </row>
    <row r="266" spans="1:8" ht="31.5" x14ac:dyDescent="0.2">
      <c r="A266" s="132" t="s">
        <v>1017</v>
      </c>
      <c r="B266" s="133" t="s">
        <v>992</v>
      </c>
      <c r="C266" s="133" t="s">
        <v>1016</v>
      </c>
      <c r="D266" s="133" t="s">
        <v>268</v>
      </c>
      <c r="E266" s="133"/>
      <c r="F266" s="134">
        <f t="shared" ref="F266:G270" si="55">F267</f>
        <v>4594.7889999999998</v>
      </c>
      <c r="G266" s="134">
        <f t="shared" si="55"/>
        <v>0</v>
      </c>
      <c r="H266" s="131">
        <f t="shared" si="53"/>
        <v>0</v>
      </c>
    </row>
    <row r="267" spans="1:8" ht="31.5" x14ac:dyDescent="0.2">
      <c r="A267" s="135" t="s">
        <v>382</v>
      </c>
      <c r="B267" s="136" t="s">
        <v>992</v>
      </c>
      <c r="C267" s="136" t="s">
        <v>1016</v>
      </c>
      <c r="D267" s="137" t="s">
        <v>281</v>
      </c>
      <c r="E267" s="173"/>
      <c r="F267" s="138">
        <f t="shared" si="55"/>
        <v>4594.7889999999998</v>
      </c>
      <c r="G267" s="138">
        <f t="shared" si="55"/>
        <v>0</v>
      </c>
      <c r="H267" s="131">
        <f t="shared" si="53"/>
        <v>0</v>
      </c>
    </row>
    <row r="268" spans="1:8" ht="47.25" x14ac:dyDescent="0.2">
      <c r="A268" s="154" t="s">
        <v>383</v>
      </c>
      <c r="B268" s="133" t="s">
        <v>992</v>
      </c>
      <c r="C268" s="133" t="s">
        <v>1016</v>
      </c>
      <c r="D268" s="133" t="s">
        <v>282</v>
      </c>
      <c r="E268" s="133"/>
      <c r="F268" s="134">
        <f t="shared" si="55"/>
        <v>4594.7889999999998</v>
      </c>
      <c r="G268" s="134">
        <f t="shared" si="55"/>
        <v>0</v>
      </c>
      <c r="H268" s="131">
        <f t="shared" si="53"/>
        <v>0</v>
      </c>
    </row>
    <row r="269" spans="1:8" ht="47.25" x14ac:dyDescent="0.2">
      <c r="A269" s="155" t="s">
        <v>1018</v>
      </c>
      <c r="B269" s="148" t="s">
        <v>992</v>
      </c>
      <c r="C269" s="148" t="s">
        <v>1016</v>
      </c>
      <c r="D269" s="148" t="s">
        <v>284</v>
      </c>
      <c r="E269" s="148"/>
      <c r="F269" s="144">
        <f t="shared" si="55"/>
        <v>4594.7889999999998</v>
      </c>
      <c r="G269" s="144">
        <f t="shared" si="55"/>
        <v>0</v>
      </c>
      <c r="H269" s="131">
        <f t="shared" si="53"/>
        <v>0</v>
      </c>
    </row>
    <row r="270" spans="1:8" ht="18.75" x14ac:dyDescent="0.2">
      <c r="A270" s="157" t="s">
        <v>13</v>
      </c>
      <c r="B270" s="141" t="s">
        <v>992</v>
      </c>
      <c r="C270" s="141" t="s">
        <v>1016</v>
      </c>
      <c r="D270" s="141" t="s">
        <v>284</v>
      </c>
      <c r="E270" s="141" t="s">
        <v>14</v>
      </c>
      <c r="F270" s="147">
        <f t="shared" si="55"/>
        <v>4594.7889999999998</v>
      </c>
      <c r="G270" s="147">
        <f t="shared" si="55"/>
        <v>0</v>
      </c>
      <c r="H270" s="131">
        <f t="shared" si="53"/>
        <v>0</v>
      </c>
    </row>
    <row r="271" spans="1:8" ht="18.75" x14ac:dyDescent="0.2">
      <c r="A271" s="157" t="s">
        <v>1019</v>
      </c>
      <c r="B271" s="141" t="s">
        <v>992</v>
      </c>
      <c r="C271" s="141" t="s">
        <v>1016</v>
      </c>
      <c r="D271" s="141" t="s">
        <v>284</v>
      </c>
      <c r="E271" s="141" t="s">
        <v>80</v>
      </c>
      <c r="F271" s="147">
        <f>5000-405.211</f>
        <v>4594.7889999999998</v>
      </c>
      <c r="G271" s="147">
        <v>0</v>
      </c>
      <c r="H271" s="131">
        <f t="shared" si="53"/>
        <v>0</v>
      </c>
    </row>
    <row r="272" spans="1:8" ht="18.75" x14ac:dyDescent="0.2">
      <c r="A272" s="132" t="s">
        <v>1011</v>
      </c>
      <c r="B272" s="133" t="s">
        <v>992</v>
      </c>
      <c r="C272" s="133" t="s">
        <v>1016</v>
      </c>
      <c r="D272" s="133" t="s">
        <v>161</v>
      </c>
      <c r="E272" s="133"/>
      <c r="F272" s="134">
        <f t="shared" ref="F272:G275" si="56">F273</f>
        <v>2500</v>
      </c>
      <c r="G272" s="134">
        <f t="shared" si="56"/>
        <v>0</v>
      </c>
      <c r="H272" s="131">
        <f t="shared" si="53"/>
        <v>0</v>
      </c>
    </row>
    <row r="273" spans="1:8" ht="18.75" x14ac:dyDescent="0.2">
      <c r="A273" s="145" t="s">
        <v>454</v>
      </c>
      <c r="B273" s="151" t="s">
        <v>992</v>
      </c>
      <c r="C273" s="141" t="s">
        <v>1016</v>
      </c>
      <c r="D273" s="141" t="s">
        <v>176</v>
      </c>
      <c r="E273" s="174"/>
      <c r="F273" s="147">
        <f t="shared" si="56"/>
        <v>2500</v>
      </c>
      <c r="G273" s="147">
        <f t="shared" si="56"/>
        <v>0</v>
      </c>
      <c r="H273" s="131">
        <f t="shared" si="53"/>
        <v>0</v>
      </c>
    </row>
    <row r="274" spans="1:8" ht="18.75" x14ac:dyDescent="0.2">
      <c r="A274" s="145" t="s">
        <v>1020</v>
      </c>
      <c r="B274" s="151" t="s">
        <v>992</v>
      </c>
      <c r="C274" s="141" t="s">
        <v>1016</v>
      </c>
      <c r="D274" s="141" t="s">
        <v>452</v>
      </c>
      <c r="E274" s="174"/>
      <c r="F274" s="147">
        <f t="shared" si="56"/>
        <v>2500</v>
      </c>
      <c r="G274" s="147">
        <f t="shared" si="56"/>
        <v>0</v>
      </c>
      <c r="H274" s="131">
        <f t="shared" si="53"/>
        <v>0</v>
      </c>
    </row>
    <row r="275" spans="1:8" ht="18.75" x14ac:dyDescent="0.2">
      <c r="A275" s="145" t="s">
        <v>13</v>
      </c>
      <c r="B275" s="141" t="s">
        <v>992</v>
      </c>
      <c r="C275" s="141" t="s">
        <v>1016</v>
      </c>
      <c r="D275" s="141" t="s">
        <v>452</v>
      </c>
      <c r="E275" s="141">
        <v>800</v>
      </c>
      <c r="F275" s="147">
        <f t="shared" si="56"/>
        <v>2500</v>
      </c>
      <c r="G275" s="147">
        <f t="shared" si="56"/>
        <v>0</v>
      </c>
      <c r="H275" s="131">
        <f t="shared" si="53"/>
        <v>0</v>
      </c>
    </row>
    <row r="276" spans="1:8" ht="18.75" x14ac:dyDescent="0.2">
      <c r="A276" s="145" t="s">
        <v>2</v>
      </c>
      <c r="B276" s="141" t="s">
        <v>992</v>
      </c>
      <c r="C276" s="141" t="s">
        <v>1016</v>
      </c>
      <c r="D276" s="141" t="s">
        <v>452</v>
      </c>
      <c r="E276" s="141">
        <v>870</v>
      </c>
      <c r="F276" s="147">
        <f>3000-150-200-50-100</f>
        <v>2500</v>
      </c>
      <c r="G276" s="147">
        <v>0</v>
      </c>
      <c r="H276" s="131">
        <f t="shared" si="53"/>
        <v>0</v>
      </c>
    </row>
    <row r="277" spans="1:8" ht="18.75" x14ac:dyDescent="0.2">
      <c r="A277" s="132" t="s">
        <v>1021</v>
      </c>
      <c r="B277" s="133" t="s">
        <v>992</v>
      </c>
      <c r="C277" s="133" t="s">
        <v>1022</v>
      </c>
      <c r="D277" s="133"/>
      <c r="E277" s="133"/>
      <c r="F277" s="134">
        <f>F278+F286+F385+F423+F472+F417</f>
        <v>646668.90100000007</v>
      </c>
      <c r="G277" s="134">
        <f>G278+G286+G385+G423+G472+G417</f>
        <v>624688.78955999995</v>
      </c>
      <c r="H277" s="131">
        <f t="shared" si="53"/>
        <v>96.601025438828074</v>
      </c>
    </row>
    <row r="278" spans="1:8" ht="18.75" x14ac:dyDescent="0.2">
      <c r="A278" s="132" t="s">
        <v>888</v>
      </c>
      <c r="B278" s="133" t="s">
        <v>992</v>
      </c>
      <c r="C278" s="133" t="s">
        <v>1022</v>
      </c>
      <c r="D278" s="133" t="s">
        <v>214</v>
      </c>
      <c r="E278" s="133"/>
      <c r="F278" s="134">
        <f>F279</f>
        <v>3887</v>
      </c>
      <c r="G278" s="134">
        <f t="shared" ref="G278" si="57">G279</f>
        <v>3887</v>
      </c>
      <c r="H278" s="131">
        <f t="shared" si="53"/>
        <v>100</v>
      </c>
    </row>
    <row r="279" spans="1:8" ht="18.75" x14ac:dyDescent="0.2">
      <c r="A279" s="175" t="s">
        <v>6</v>
      </c>
      <c r="B279" s="136" t="s">
        <v>992</v>
      </c>
      <c r="C279" s="136" t="s">
        <v>1022</v>
      </c>
      <c r="D279" s="136" t="s">
        <v>215</v>
      </c>
      <c r="E279" s="136"/>
      <c r="F279" s="138">
        <f t="shared" ref="F279:G282" si="58">F280</f>
        <v>3887</v>
      </c>
      <c r="G279" s="138">
        <f t="shared" si="58"/>
        <v>3887</v>
      </c>
      <c r="H279" s="131">
        <f t="shared" si="53"/>
        <v>100</v>
      </c>
    </row>
    <row r="280" spans="1:8" ht="47.25" x14ac:dyDescent="0.2">
      <c r="A280" s="132" t="s">
        <v>658</v>
      </c>
      <c r="B280" s="133" t="s">
        <v>992</v>
      </c>
      <c r="C280" s="133" t="s">
        <v>1022</v>
      </c>
      <c r="D280" s="139" t="s">
        <v>218</v>
      </c>
      <c r="E280" s="176"/>
      <c r="F280" s="134">
        <f t="shared" si="58"/>
        <v>3887</v>
      </c>
      <c r="G280" s="134">
        <f t="shared" si="58"/>
        <v>3887</v>
      </c>
      <c r="H280" s="131">
        <f t="shared" si="53"/>
        <v>100</v>
      </c>
    </row>
    <row r="281" spans="1:8" ht="63" x14ac:dyDescent="0.2">
      <c r="A281" s="140" t="s">
        <v>120</v>
      </c>
      <c r="B281" s="141" t="s">
        <v>992</v>
      </c>
      <c r="C281" s="141" t="s">
        <v>1022</v>
      </c>
      <c r="D281" s="142" t="s">
        <v>222</v>
      </c>
      <c r="E281" s="177"/>
      <c r="F281" s="144">
        <f t="shared" si="58"/>
        <v>3887</v>
      </c>
      <c r="G281" s="144">
        <f t="shared" si="58"/>
        <v>3887</v>
      </c>
      <c r="H281" s="131">
        <f t="shared" si="53"/>
        <v>100</v>
      </c>
    </row>
    <row r="282" spans="1:8" ht="47.25" x14ac:dyDescent="0.2">
      <c r="A282" s="145" t="s">
        <v>27</v>
      </c>
      <c r="B282" s="141" t="s">
        <v>992</v>
      </c>
      <c r="C282" s="141" t="s">
        <v>1022</v>
      </c>
      <c r="D282" s="146" t="s">
        <v>222</v>
      </c>
      <c r="E282" s="141" t="s">
        <v>28</v>
      </c>
      <c r="F282" s="147">
        <f t="shared" si="58"/>
        <v>3887</v>
      </c>
      <c r="G282" s="147">
        <f t="shared" si="58"/>
        <v>3887</v>
      </c>
      <c r="H282" s="131">
        <f t="shared" si="53"/>
        <v>100</v>
      </c>
    </row>
    <row r="283" spans="1:8" ht="18.75" x14ac:dyDescent="0.2">
      <c r="A283" s="145" t="s">
        <v>30</v>
      </c>
      <c r="B283" s="141" t="s">
        <v>992</v>
      </c>
      <c r="C283" s="141" t="s">
        <v>1022</v>
      </c>
      <c r="D283" s="146" t="s">
        <v>222</v>
      </c>
      <c r="E283" s="141" t="s">
        <v>29</v>
      </c>
      <c r="F283" s="147">
        <f>F284+F285</f>
        <v>3887</v>
      </c>
      <c r="G283" s="147">
        <f>G284+G285</f>
        <v>3887</v>
      </c>
      <c r="H283" s="131">
        <f t="shared" si="53"/>
        <v>100</v>
      </c>
    </row>
    <row r="284" spans="1:8" s="82" customFormat="1" ht="18.75" hidden="1" x14ac:dyDescent="0.2">
      <c r="A284" s="3" t="s">
        <v>223</v>
      </c>
      <c r="B284" s="2" t="s">
        <v>992</v>
      </c>
      <c r="C284" s="2" t="s">
        <v>1022</v>
      </c>
      <c r="D284" s="4" t="s">
        <v>222</v>
      </c>
      <c r="E284" s="2" t="s">
        <v>77</v>
      </c>
      <c r="F284" s="10">
        <v>2985</v>
      </c>
      <c r="G284" s="10">
        <v>2985</v>
      </c>
      <c r="H284" s="97">
        <f t="shared" si="53"/>
        <v>100</v>
      </c>
    </row>
    <row r="285" spans="1:8" s="82" customFormat="1" ht="31.5" hidden="1" x14ac:dyDescent="0.2">
      <c r="A285" s="3" t="s">
        <v>137</v>
      </c>
      <c r="B285" s="2" t="s">
        <v>992</v>
      </c>
      <c r="C285" s="2" t="s">
        <v>1022</v>
      </c>
      <c r="D285" s="4" t="s">
        <v>222</v>
      </c>
      <c r="E285" s="2" t="s">
        <v>136</v>
      </c>
      <c r="F285" s="10">
        <v>902</v>
      </c>
      <c r="G285" s="10">
        <v>902</v>
      </c>
      <c r="H285" s="97">
        <f t="shared" si="53"/>
        <v>100</v>
      </c>
    </row>
    <row r="286" spans="1:8" ht="31.5" x14ac:dyDescent="0.2">
      <c r="A286" s="132" t="s">
        <v>991</v>
      </c>
      <c r="B286" s="133" t="s">
        <v>992</v>
      </c>
      <c r="C286" s="133" t="s">
        <v>1022</v>
      </c>
      <c r="D286" s="133" t="s">
        <v>156</v>
      </c>
      <c r="E286" s="133"/>
      <c r="F286" s="134">
        <f>F293+F315+F287</f>
        <v>280663</v>
      </c>
      <c r="G286" s="134">
        <f>G293+G315+G287</f>
        <v>271482.01711000002</v>
      </c>
      <c r="H286" s="131">
        <f t="shared" si="53"/>
        <v>96.728823218593121</v>
      </c>
    </row>
    <row r="287" spans="1:8" ht="18.75" x14ac:dyDescent="0.2">
      <c r="A287" s="135" t="s">
        <v>76</v>
      </c>
      <c r="B287" s="136" t="s">
        <v>992</v>
      </c>
      <c r="C287" s="136">
        <v>13</v>
      </c>
      <c r="D287" s="137" t="s">
        <v>134</v>
      </c>
      <c r="E287" s="136"/>
      <c r="F287" s="138">
        <f>F288</f>
        <v>511</v>
      </c>
      <c r="G287" s="138">
        <f>G288</f>
        <v>510.63830000000002</v>
      </c>
      <c r="H287" s="131">
        <f t="shared" si="53"/>
        <v>99.929217221135033</v>
      </c>
    </row>
    <row r="288" spans="1:8" ht="47.25" x14ac:dyDescent="0.2">
      <c r="A288" s="132" t="s">
        <v>1002</v>
      </c>
      <c r="B288" s="133" t="s">
        <v>992</v>
      </c>
      <c r="C288" s="133">
        <v>13</v>
      </c>
      <c r="D288" s="139" t="s">
        <v>344</v>
      </c>
      <c r="E288" s="136"/>
      <c r="F288" s="134">
        <f>F289</f>
        <v>511</v>
      </c>
      <c r="G288" s="134">
        <f t="shared" ref="G288" si="59">G289</f>
        <v>510.63830000000002</v>
      </c>
      <c r="H288" s="131">
        <f t="shared" si="53"/>
        <v>99.929217221135033</v>
      </c>
    </row>
    <row r="289" spans="1:8" ht="18.75" x14ac:dyDescent="0.2">
      <c r="A289" s="140" t="s">
        <v>343</v>
      </c>
      <c r="B289" s="141" t="s">
        <v>988</v>
      </c>
      <c r="C289" s="141">
        <v>13</v>
      </c>
      <c r="D289" s="148" t="s">
        <v>345</v>
      </c>
      <c r="E289" s="141"/>
      <c r="F289" s="147">
        <f t="shared" ref="F289:G291" si="60">F290</f>
        <v>511</v>
      </c>
      <c r="G289" s="147">
        <f t="shared" si="60"/>
        <v>510.63830000000002</v>
      </c>
      <c r="H289" s="131">
        <f t="shared" si="53"/>
        <v>99.929217221135033</v>
      </c>
    </row>
    <row r="290" spans="1:8" ht="18.75" x14ac:dyDescent="0.2">
      <c r="A290" s="145" t="s">
        <v>871</v>
      </c>
      <c r="B290" s="141" t="s">
        <v>988</v>
      </c>
      <c r="C290" s="141">
        <v>13</v>
      </c>
      <c r="D290" s="141" t="s">
        <v>345</v>
      </c>
      <c r="E290" s="141" t="s">
        <v>15</v>
      </c>
      <c r="F290" s="147">
        <f t="shared" si="60"/>
        <v>511</v>
      </c>
      <c r="G290" s="147">
        <f t="shared" si="60"/>
        <v>510.63830000000002</v>
      </c>
      <c r="H290" s="131">
        <f t="shared" si="53"/>
        <v>99.929217221135033</v>
      </c>
    </row>
    <row r="291" spans="1:8" ht="31.5" x14ac:dyDescent="0.2">
      <c r="A291" s="145" t="s">
        <v>17</v>
      </c>
      <c r="B291" s="141" t="s">
        <v>988</v>
      </c>
      <c r="C291" s="141">
        <v>13</v>
      </c>
      <c r="D291" s="141" t="s">
        <v>345</v>
      </c>
      <c r="E291" s="141" t="s">
        <v>16</v>
      </c>
      <c r="F291" s="147">
        <f>F292</f>
        <v>511</v>
      </c>
      <c r="G291" s="147">
        <f t="shared" si="60"/>
        <v>510.63830000000002</v>
      </c>
      <c r="H291" s="131">
        <f t="shared" si="53"/>
        <v>99.929217221135033</v>
      </c>
    </row>
    <row r="292" spans="1:8" s="82" customFormat="1" ht="18.75" hidden="1" x14ac:dyDescent="0.2">
      <c r="A292" s="3" t="s">
        <v>548</v>
      </c>
      <c r="B292" s="2" t="s">
        <v>988</v>
      </c>
      <c r="C292" s="2">
        <v>13</v>
      </c>
      <c r="D292" s="2" t="s">
        <v>345</v>
      </c>
      <c r="E292" s="2" t="s">
        <v>67</v>
      </c>
      <c r="F292" s="10">
        <f>570-59</f>
        <v>511</v>
      </c>
      <c r="G292" s="10">
        <v>510.63830000000002</v>
      </c>
      <c r="H292" s="97">
        <f t="shared" si="53"/>
        <v>99.929217221135033</v>
      </c>
    </row>
    <row r="293" spans="1:8" ht="31.5" x14ac:dyDescent="0.2">
      <c r="A293" s="135" t="s">
        <v>131</v>
      </c>
      <c r="B293" s="136" t="s">
        <v>992</v>
      </c>
      <c r="C293" s="136" t="s">
        <v>1022</v>
      </c>
      <c r="D293" s="137" t="s">
        <v>170</v>
      </c>
      <c r="E293" s="173"/>
      <c r="F293" s="138">
        <f>F294+F308</f>
        <v>26962</v>
      </c>
      <c r="G293" s="138">
        <f>G294+G308</f>
        <v>26873.712449999999</v>
      </c>
      <c r="H293" s="131">
        <f t="shared" si="53"/>
        <v>99.672548216007712</v>
      </c>
    </row>
    <row r="294" spans="1:8" ht="31.5" x14ac:dyDescent="0.2">
      <c r="A294" s="132" t="s">
        <v>1024</v>
      </c>
      <c r="B294" s="133" t="s">
        <v>992</v>
      </c>
      <c r="C294" s="133" t="s">
        <v>1022</v>
      </c>
      <c r="D294" s="139" t="s">
        <v>347</v>
      </c>
      <c r="E294" s="161"/>
      <c r="F294" s="134">
        <f>F295</f>
        <v>26854</v>
      </c>
      <c r="G294" s="134">
        <f>G295</f>
        <v>26765.712449999999</v>
      </c>
      <c r="H294" s="131">
        <f t="shared" si="53"/>
        <v>99.671231287703876</v>
      </c>
    </row>
    <row r="295" spans="1:8" ht="18.75" x14ac:dyDescent="0.2">
      <c r="A295" s="140" t="s">
        <v>133</v>
      </c>
      <c r="B295" s="148" t="s">
        <v>992</v>
      </c>
      <c r="C295" s="148" t="s">
        <v>1022</v>
      </c>
      <c r="D295" s="148" t="s">
        <v>348</v>
      </c>
      <c r="E295" s="148"/>
      <c r="F295" s="144">
        <f>F296+F301+F305</f>
        <v>26854</v>
      </c>
      <c r="G295" s="144">
        <f>G296+G301+G305</f>
        <v>26765.712449999999</v>
      </c>
      <c r="H295" s="131">
        <f t="shared" si="53"/>
        <v>99.671231287703876</v>
      </c>
    </row>
    <row r="296" spans="1:8" ht="47.25" x14ac:dyDescent="0.2">
      <c r="A296" s="145" t="s">
        <v>27</v>
      </c>
      <c r="B296" s="141" t="s">
        <v>992</v>
      </c>
      <c r="C296" s="141" t="s">
        <v>1022</v>
      </c>
      <c r="D296" s="141" t="s">
        <v>348</v>
      </c>
      <c r="E296" s="141" t="s">
        <v>28</v>
      </c>
      <c r="F296" s="147">
        <f>F297</f>
        <v>23561</v>
      </c>
      <c r="G296" s="147">
        <f>G297</f>
        <v>23551.866699999999</v>
      </c>
      <c r="H296" s="131">
        <f t="shared" si="53"/>
        <v>99.961235516319334</v>
      </c>
    </row>
    <row r="297" spans="1:8" ht="18.75" x14ac:dyDescent="0.2">
      <c r="A297" s="145" t="s">
        <v>30</v>
      </c>
      <c r="B297" s="141" t="s">
        <v>992</v>
      </c>
      <c r="C297" s="141" t="s">
        <v>1022</v>
      </c>
      <c r="D297" s="141" t="s">
        <v>348</v>
      </c>
      <c r="E297" s="141" t="s">
        <v>29</v>
      </c>
      <c r="F297" s="147">
        <f>F298+F299+F300</f>
        <v>23561</v>
      </c>
      <c r="G297" s="147">
        <f>G298+G299+G300</f>
        <v>23551.866699999999</v>
      </c>
      <c r="H297" s="131">
        <f t="shared" si="53"/>
        <v>99.961235516319334</v>
      </c>
    </row>
    <row r="298" spans="1:8" s="82" customFormat="1" ht="18.75" hidden="1" x14ac:dyDescent="0.2">
      <c r="A298" s="3" t="s">
        <v>223</v>
      </c>
      <c r="B298" s="2" t="s">
        <v>992</v>
      </c>
      <c r="C298" s="2" t="s">
        <v>1022</v>
      </c>
      <c r="D298" s="2" t="s">
        <v>348</v>
      </c>
      <c r="E298" s="2" t="s">
        <v>77</v>
      </c>
      <c r="F298" s="62">
        <f>15736-1470+2887-1489</f>
        <v>15664</v>
      </c>
      <c r="G298" s="62">
        <v>15751.13982</v>
      </c>
      <c r="H298" s="97">
        <f t="shared" si="53"/>
        <v>100.55630630745659</v>
      </c>
    </row>
    <row r="299" spans="1:8" s="82" customFormat="1" ht="31.5" hidden="1" x14ac:dyDescent="0.2">
      <c r="A299" s="3" t="s">
        <v>79</v>
      </c>
      <c r="B299" s="2" t="s">
        <v>992</v>
      </c>
      <c r="C299" s="2" t="s">
        <v>1022</v>
      </c>
      <c r="D299" s="2" t="s">
        <v>348</v>
      </c>
      <c r="E299" s="2" t="s">
        <v>78</v>
      </c>
      <c r="F299" s="62">
        <f>3361-360+662-1-890-214</f>
        <v>2558</v>
      </c>
      <c r="G299" s="62">
        <v>2554.52855</v>
      </c>
      <c r="H299" s="97">
        <f t="shared" si="53"/>
        <v>99.864290461297884</v>
      </c>
    </row>
    <row r="300" spans="1:8" s="82" customFormat="1" ht="31.5" hidden="1" x14ac:dyDescent="0.2">
      <c r="A300" s="3" t="s">
        <v>137</v>
      </c>
      <c r="B300" s="2" t="s">
        <v>992</v>
      </c>
      <c r="C300" s="2" t="s">
        <v>1022</v>
      </c>
      <c r="D300" s="2" t="s">
        <v>348</v>
      </c>
      <c r="E300" s="2" t="s">
        <v>136</v>
      </c>
      <c r="F300" s="62">
        <f>5767-552+1073-719-230</f>
        <v>5339</v>
      </c>
      <c r="G300" s="62">
        <v>5246.1983300000002</v>
      </c>
      <c r="H300" s="97">
        <f t="shared" si="53"/>
        <v>98.261815508522204</v>
      </c>
    </row>
    <row r="301" spans="1:8" ht="18.75" x14ac:dyDescent="0.2">
      <c r="A301" s="145" t="s">
        <v>871</v>
      </c>
      <c r="B301" s="141" t="s">
        <v>992</v>
      </c>
      <c r="C301" s="141" t="s">
        <v>1022</v>
      </c>
      <c r="D301" s="141" t="s">
        <v>348</v>
      </c>
      <c r="E301" s="141" t="s">
        <v>15</v>
      </c>
      <c r="F301" s="160">
        <f>F302</f>
        <v>3291</v>
      </c>
      <c r="G301" s="160">
        <f>G302</f>
        <v>3212.2777500000002</v>
      </c>
      <c r="H301" s="131">
        <f t="shared" si="53"/>
        <v>97.607953509571558</v>
      </c>
    </row>
    <row r="302" spans="1:8" ht="31.5" x14ac:dyDescent="0.2">
      <c r="A302" s="145" t="s">
        <v>17</v>
      </c>
      <c r="B302" s="141" t="s">
        <v>992</v>
      </c>
      <c r="C302" s="141" t="s">
        <v>1022</v>
      </c>
      <c r="D302" s="141" t="s">
        <v>348</v>
      </c>
      <c r="E302" s="141" t="s">
        <v>16</v>
      </c>
      <c r="F302" s="160">
        <f>F303+F304</f>
        <v>3291</v>
      </c>
      <c r="G302" s="160">
        <f>G303+G304</f>
        <v>3212.2777500000002</v>
      </c>
      <c r="H302" s="131">
        <f t="shared" si="53"/>
        <v>97.607953509571558</v>
      </c>
    </row>
    <row r="303" spans="1:8" s="82" customFormat="1" ht="31.5" hidden="1" x14ac:dyDescent="0.2">
      <c r="A303" s="28" t="s">
        <v>367</v>
      </c>
      <c r="B303" s="2" t="s">
        <v>992</v>
      </c>
      <c r="C303" s="2" t="s">
        <v>1022</v>
      </c>
      <c r="D303" s="2" t="s">
        <v>348</v>
      </c>
      <c r="E303" s="2" t="s">
        <v>368</v>
      </c>
      <c r="F303" s="62">
        <f>1241-157+10</f>
        <v>1094</v>
      </c>
      <c r="G303" s="62">
        <v>1245.16923</v>
      </c>
      <c r="H303" s="97">
        <f t="shared" si="53"/>
        <v>113.81802833638027</v>
      </c>
    </row>
    <row r="304" spans="1:8" s="82" customFormat="1" ht="18.75" hidden="1" x14ac:dyDescent="0.2">
      <c r="A304" s="3" t="s">
        <v>548</v>
      </c>
      <c r="B304" s="2" t="s">
        <v>992</v>
      </c>
      <c r="C304" s="2" t="s">
        <v>1022</v>
      </c>
      <c r="D304" s="2" t="s">
        <v>348</v>
      </c>
      <c r="E304" s="2" t="s">
        <v>67</v>
      </c>
      <c r="F304" s="62">
        <f>1907+290</f>
        <v>2197</v>
      </c>
      <c r="G304" s="62">
        <v>1967.10852</v>
      </c>
      <c r="H304" s="97">
        <f t="shared" si="53"/>
        <v>89.53611834319527</v>
      </c>
    </row>
    <row r="305" spans="1:8" ht="18.75" x14ac:dyDescent="0.2">
      <c r="A305" s="157" t="s">
        <v>13</v>
      </c>
      <c r="B305" s="141" t="s">
        <v>992</v>
      </c>
      <c r="C305" s="141" t="s">
        <v>1022</v>
      </c>
      <c r="D305" s="141" t="s">
        <v>348</v>
      </c>
      <c r="E305" s="141" t="s">
        <v>14</v>
      </c>
      <c r="F305" s="160">
        <f t="shared" ref="F305:G305" si="61">F306</f>
        <v>2</v>
      </c>
      <c r="G305" s="160">
        <f t="shared" si="61"/>
        <v>1.5680000000000001</v>
      </c>
      <c r="H305" s="131">
        <f t="shared" si="53"/>
        <v>78.400000000000006</v>
      </c>
    </row>
    <row r="306" spans="1:8" ht="18.75" x14ac:dyDescent="0.2">
      <c r="A306" s="145" t="s">
        <v>32</v>
      </c>
      <c r="B306" s="141" t="s">
        <v>992</v>
      </c>
      <c r="C306" s="141" t="s">
        <v>1022</v>
      </c>
      <c r="D306" s="141" t="s">
        <v>348</v>
      </c>
      <c r="E306" s="141" t="s">
        <v>31</v>
      </c>
      <c r="F306" s="160">
        <f>F307</f>
        <v>2</v>
      </c>
      <c r="G306" s="160">
        <f>G307</f>
        <v>1.5680000000000001</v>
      </c>
      <c r="H306" s="131">
        <f t="shared" si="53"/>
        <v>78.400000000000006</v>
      </c>
    </row>
    <row r="307" spans="1:8" s="82" customFormat="1" ht="18.75" hidden="1" x14ac:dyDescent="0.2">
      <c r="A307" s="3" t="s">
        <v>68</v>
      </c>
      <c r="B307" s="2" t="s">
        <v>992</v>
      </c>
      <c r="C307" s="2" t="s">
        <v>1022</v>
      </c>
      <c r="D307" s="2" t="s">
        <v>348</v>
      </c>
      <c r="E307" s="2" t="s">
        <v>69</v>
      </c>
      <c r="F307" s="62">
        <f>10-8</f>
        <v>2</v>
      </c>
      <c r="G307" s="62">
        <v>1.5680000000000001</v>
      </c>
      <c r="H307" s="97">
        <f t="shared" si="53"/>
        <v>78.400000000000006</v>
      </c>
    </row>
    <row r="308" spans="1:8" ht="18.75" x14ac:dyDescent="0.2">
      <c r="A308" s="132" t="s">
        <v>556</v>
      </c>
      <c r="B308" s="133" t="s">
        <v>992</v>
      </c>
      <c r="C308" s="133" t="s">
        <v>1022</v>
      </c>
      <c r="D308" s="139" t="s">
        <v>557</v>
      </c>
      <c r="E308" s="161"/>
      <c r="F308" s="134">
        <f>F309</f>
        <v>108</v>
      </c>
      <c r="G308" s="134">
        <f>G309</f>
        <v>108</v>
      </c>
      <c r="H308" s="131">
        <f t="shared" si="53"/>
        <v>100</v>
      </c>
    </row>
    <row r="309" spans="1:8" ht="18.75" x14ac:dyDescent="0.2">
      <c r="A309" s="140" t="s">
        <v>1025</v>
      </c>
      <c r="B309" s="148" t="s">
        <v>992</v>
      </c>
      <c r="C309" s="148" t="s">
        <v>1022</v>
      </c>
      <c r="D309" s="148" t="s">
        <v>558</v>
      </c>
      <c r="E309" s="148"/>
      <c r="F309" s="144">
        <f>F310+F313</f>
        <v>108</v>
      </c>
      <c r="G309" s="144">
        <f>G310+G313</f>
        <v>108</v>
      </c>
      <c r="H309" s="131">
        <f t="shared" si="53"/>
        <v>100</v>
      </c>
    </row>
    <row r="310" spans="1:8" ht="18.75" x14ac:dyDescent="0.2">
      <c r="A310" s="145" t="s">
        <v>871</v>
      </c>
      <c r="B310" s="141" t="s">
        <v>992</v>
      </c>
      <c r="C310" s="141" t="s">
        <v>1022</v>
      </c>
      <c r="D310" s="146" t="s">
        <v>558</v>
      </c>
      <c r="E310" s="141" t="s">
        <v>15</v>
      </c>
      <c r="F310" s="147">
        <f t="shared" ref="F310:G311" si="62">F311</f>
        <v>50</v>
      </c>
      <c r="G310" s="147">
        <f t="shared" si="62"/>
        <v>50</v>
      </c>
      <c r="H310" s="131">
        <f t="shared" si="53"/>
        <v>100</v>
      </c>
    </row>
    <row r="311" spans="1:8" ht="31.5" x14ac:dyDescent="0.2">
      <c r="A311" s="145" t="s">
        <v>17</v>
      </c>
      <c r="B311" s="141" t="s">
        <v>992</v>
      </c>
      <c r="C311" s="141" t="s">
        <v>1022</v>
      </c>
      <c r="D311" s="146" t="s">
        <v>558</v>
      </c>
      <c r="E311" s="141" t="s">
        <v>16</v>
      </c>
      <c r="F311" s="147">
        <f t="shared" si="62"/>
        <v>50</v>
      </c>
      <c r="G311" s="147">
        <f t="shared" si="62"/>
        <v>50</v>
      </c>
      <c r="H311" s="131">
        <f t="shared" si="53"/>
        <v>100</v>
      </c>
    </row>
    <row r="312" spans="1:8" s="82" customFormat="1" ht="18.75" hidden="1" x14ac:dyDescent="0.2">
      <c r="A312" s="3" t="s">
        <v>548</v>
      </c>
      <c r="B312" s="2" t="s">
        <v>992</v>
      </c>
      <c r="C312" s="2" t="s">
        <v>1022</v>
      </c>
      <c r="D312" s="2" t="s">
        <v>558</v>
      </c>
      <c r="E312" s="2" t="s">
        <v>67</v>
      </c>
      <c r="F312" s="62">
        <v>50</v>
      </c>
      <c r="G312" s="62">
        <v>50</v>
      </c>
      <c r="H312" s="97">
        <f t="shared" si="53"/>
        <v>100</v>
      </c>
    </row>
    <row r="313" spans="1:8" ht="18.75" x14ac:dyDescent="0.2">
      <c r="A313" s="145" t="s">
        <v>22</v>
      </c>
      <c r="B313" s="141" t="s">
        <v>992</v>
      </c>
      <c r="C313" s="141" t="s">
        <v>1022</v>
      </c>
      <c r="D313" s="141" t="s">
        <v>558</v>
      </c>
      <c r="E313" s="141" t="s">
        <v>23</v>
      </c>
      <c r="F313" s="160">
        <f>F314</f>
        <v>58</v>
      </c>
      <c r="G313" s="160">
        <f>G314</f>
        <v>58</v>
      </c>
      <c r="H313" s="131">
        <f t="shared" si="53"/>
        <v>100</v>
      </c>
    </row>
    <row r="314" spans="1:8" ht="18.75" x14ac:dyDescent="0.2">
      <c r="A314" s="145" t="s">
        <v>58</v>
      </c>
      <c r="B314" s="141" t="s">
        <v>992</v>
      </c>
      <c r="C314" s="141" t="s">
        <v>1022</v>
      </c>
      <c r="D314" s="141" t="s">
        <v>558</v>
      </c>
      <c r="E314" s="141" t="s">
        <v>59</v>
      </c>
      <c r="F314" s="160">
        <v>58</v>
      </c>
      <c r="G314" s="160">
        <v>58</v>
      </c>
      <c r="H314" s="131">
        <f t="shared" si="53"/>
        <v>100</v>
      </c>
    </row>
    <row r="315" spans="1:8" ht="18.75" x14ac:dyDescent="0.2">
      <c r="A315" s="135" t="s">
        <v>349</v>
      </c>
      <c r="B315" s="136" t="s">
        <v>992</v>
      </c>
      <c r="C315" s="136" t="s">
        <v>1022</v>
      </c>
      <c r="D315" s="137" t="s">
        <v>350</v>
      </c>
      <c r="E315" s="141"/>
      <c r="F315" s="138">
        <f>F316</f>
        <v>253190</v>
      </c>
      <c r="G315" s="138">
        <f>G316</f>
        <v>244097.66636</v>
      </c>
      <c r="H315" s="131">
        <f t="shared" ref="H315:H379" si="63">G315/F315*100</f>
        <v>96.408889118843561</v>
      </c>
    </row>
    <row r="316" spans="1:8" ht="31.5" x14ac:dyDescent="0.2">
      <c r="A316" s="132" t="s">
        <v>362</v>
      </c>
      <c r="B316" s="133" t="s">
        <v>992</v>
      </c>
      <c r="C316" s="133" t="s">
        <v>1022</v>
      </c>
      <c r="D316" s="139" t="s">
        <v>357</v>
      </c>
      <c r="E316" s="141"/>
      <c r="F316" s="134">
        <f>F317+F332+F347+F361+F365+F369+F377+F354+F381</f>
        <v>253190</v>
      </c>
      <c r="G316" s="134">
        <f>G317+G332+G347+G361+G365+G369+G377+G354+G381</f>
        <v>244097.66636</v>
      </c>
      <c r="H316" s="131">
        <f t="shared" si="63"/>
        <v>96.408889118843561</v>
      </c>
    </row>
    <row r="317" spans="1:8" ht="31.5" x14ac:dyDescent="0.2">
      <c r="A317" s="135" t="s">
        <v>1026</v>
      </c>
      <c r="B317" s="136" t="s">
        <v>988</v>
      </c>
      <c r="C317" s="136" t="s">
        <v>1022</v>
      </c>
      <c r="D317" s="136" t="s">
        <v>531</v>
      </c>
      <c r="E317" s="161"/>
      <c r="F317" s="138">
        <f>F318+F323+F327</f>
        <v>94856</v>
      </c>
      <c r="G317" s="138">
        <f>G318+G323+G327</f>
        <v>94560.035459999999</v>
      </c>
      <c r="H317" s="131">
        <f t="shared" si="63"/>
        <v>99.687985430547357</v>
      </c>
    </row>
    <row r="318" spans="1:8" ht="47.25" x14ac:dyDescent="0.2">
      <c r="A318" s="150" t="s">
        <v>27</v>
      </c>
      <c r="B318" s="141" t="s">
        <v>988</v>
      </c>
      <c r="C318" s="141" t="s">
        <v>1022</v>
      </c>
      <c r="D318" s="146" t="s">
        <v>531</v>
      </c>
      <c r="E318" s="141" t="s">
        <v>28</v>
      </c>
      <c r="F318" s="147">
        <f>F319</f>
        <v>88317</v>
      </c>
      <c r="G318" s="147">
        <f>G319</f>
        <v>88151.975950000007</v>
      </c>
      <c r="H318" s="131">
        <f t="shared" si="63"/>
        <v>99.813145770350005</v>
      </c>
    </row>
    <row r="319" spans="1:8" ht="18.75" x14ac:dyDescent="0.2">
      <c r="A319" s="150" t="s">
        <v>30</v>
      </c>
      <c r="B319" s="141" t="s">
        <v>988</v>
      </c>
      <c r="C319" s="141" t="s">
        <v>1022</v>
      </c>
      <c r="D319" s="146" t="s">
        <v>531</v>
      </c>
      <c r="E319" s="141" t="s">
        <v>29</v>
      </c>
      <c r="F319" s="147">
        <f>F320+F321+F322</f>
        <v>88317</v>
      </c>
      <c r="G319" s="147">
        <f>G320+G321+G322</f>
        <v>88151.975950000007</v>
      </c>
      <c r="H319" s="131">
        <f t="shared" si="63"/>
        <v>99.813145770350005</v>
      </c>
    </row>
    <row r="320" spans="1:8" s="82" customFormat="1" ht="18.75" hidden="1" x14ac:dyDescent="0.2">
      <c r="A320" s="19" t="s">
        <v>223</v>
      </c>
      <c r="B320" s="2" t="s">
        <v>988</v>
      </c>
      <c r="C320" s="2" t="s">
        <v>1022</v>
      </c>
      <c r="D320" s="4" t="s">
        <v>531</v>
      </c>
      <c r="E320" s="2" t="s">
        <v>77</v>
      </c>
      <c r="F320" s="62">
        <f>52761+5317-813+130+150+22</f>
        <v>57567</v>
      </c>
      <c r="G320" s="62">
        <v>57552.629800000002</v>
      </c>
      <c r="H320" s="97">
        <f t="shared" si="63"/>
        <v>99.975037434641379</v>
      </c>
    </row>
    <row r="321" spans="1:8" s="82" customFormat="1" ht="31.5" hidden="1" x14ac:dyDescent="0.2">
      <c r="A321" s="3" t="s">
        <v>79</v>
      </c>
      <c r="B321" s="2" t="s">
        <v>992</v>
      </c>
      <c r="C321" s="2" t="s">
        <v>1022</v>
      </c>
      <c r="D321" s="4" t="s">
        <v>531</v>
      </c>
      <c r="E321" s="2" t="s">
        <v>78</v>
      </c>
      <c r="F321" s="62">
        <f>12520-2+1279-1-3345-30-22</f>
        <v>10399</v>
      </c>
      <c r="G321" s="62">
        <v>10399.60684</v>
      </c>
      <c r="H321" s="97">
        <f t="shared" si="63"/>
        <v>100.00583556111164</v>
      </c>
    </row>
    <row r="322" spans="1:8" s="82" customFormat="1" ht="31.5" hidden="1" x14ac:dyDescent="0.2">
      <c r="A322" s="3" t="s">
        <v>137</v>
      </c>
      <c r="B322" s="2" t="s">
        <v>988</v>
      </c>
      <c r="C322" s="2" t="s">
        <v>1022</v>
      </c>
      <c r="D322" s="4" t="s">
        <v>531</v>
      </c>
      <c r="E322" s="2" t="s">
        <v>136</v>
      </c>
      <c r="F322" s="62">
        <f>19703+2003-1255-100</f>
        <v>20351</v>
      </c>
      <c r="G322" s="62">
        <v>20199.739310000001</v>
      </c>
      <c r="H322" s="97">
        <f t="shared" si="63"/>
        <v>99.256740749840304</v>
      </c>
    </row>
    <row r="323" spans="1:8" ht="18.75" x14ac:dyDescent="0.2">
      <c r="A323" s="145" t="s">
        <v>871</v>
      </c>
      <c r="B323" s="141" t="s">
        <v>988</v>
      </c>
      <c r="C323" s="141" t="s">
        <v>1022</v>
      </c>
      <c r="D323" s="146" t="s">
        <v>531</v>
      </c>
      <c r="E323" s="141">
        <v>200</v>
      </c>
      <c r="F323" s="160">
        <f>F324</f>
        <v>6457</v>
      </c>
      <c r="G323" s="160">
        <f t="shared" ref="G323" si="64">G324</f>
        <v>6329.99143</v>
      </c>
      <c r="H323" s="131">
        <f t="shared" si="63"/>
        <v>98.033009601982343</v>
      </c>
    </row>
    <row r="324" spans="1:8" ht="31.5" x14ac:dyDescent="0.2">
      <c r="A324" s="145" t="s">
        <v>17</v>
      </c>
      <c r="B324" s="141" t="s">
        <v>988</v>
      </c>
      <c r="C324" s="141" t="s">
        <v>1022</v>
      </c>
      <c r="D324" s="146" t="s">
        <v>531</v>
      </c>
      <c r="E324" s="141">
        <v>240</v>
      </c>
      <c r="F324" s="160">
        <f>F325+F326</f>
        <v>6457</v>
      </c>
      <c r="G324" s="160">
        <f t="shared" ref="G324" si="65">G325+G326</f>
        <v>6329.99143</v>
      </c>
      <c r="H324" s="131">
        <f t="shared" si="63"/>
        <v>98.033009601982343</v>
      </c>
    </row>
    <row r="325" spans="1:8" s="82" customFormat="1" ht="31.5" hidden="1" x14ac:dyDescent="0.2">
      <c r="A325" s="28" t="s">
        <v>367</v>
      </c>
      <c r="B325" s="2" t="s">
        <v>988</v>
      </c>
      <c r="C325" s="2" t="s">
        <v>1022</v>
      </c>
      <c r="D325" s="4" t="s">
        <v>531</v>
      </c>
      <c r="E325" s="2" t="s">
        <v>368</v>
      </c>
      <c r="F325" s="62">
        <f>2155-351+140</f>
        <v>1944</v>
      </c>
      <c r="G325" s="62">
        <v>3382.7287799999999</v>
      </c>
      <c r="H325" s="97">
        <f t="shared" si="63"/>
        <v>174.00868209876543</v>
      </c>
    </row>
    <row r="326" spans="1:8" s="82" customFormat="1" ht="18.75" hidden="1" x14ac:dyDescent="0.2">
      <c r="A326" s="3" t="s">
        <v>548</v>
      </c>
      <c r="B326" s="2" t="s">
        <v>988</v>
      </c>
      <c r="C326" s="2" t="s">
        <v>1022</v>
      </c>
      <c r="D326" s="4" t="s">
        <v>531</v>
      </c>
      <c r="E326" s="2" t="s">
        <v>67</v>
      </c>
      <c r="F326" s="62">
        <f>5610-397+1800-2500</f>
        <v>4513</v>
      </c>
      <c r="G326" s="62">
        <v>2947.2626500000001</v>
      </c>
      <c r="H326" s="97">
        <f t="shared" si="63"/>
        <v>65.306063594061598</v>
      </c>
    </row>
    <row r="327" spans="1:8" ht="18.75" x14ac:dyDescent="0.2">
      <c r="A327" s="145" t="s">
        <v>13</v>
      </c>
      <c r="B327" s="141" t="s">
        <v>988</v>
      </c>
      <c r="C327" s="141" t="s">
        <v>1022</v>
      </c>
      <c r="D327" s="146" t="s">
        <v>531</v>
      </c>
      <c r="E327" s="141">
        <v>800</v>
      </c>
      <c r="F327" s="160">
        <f>F328</f>
        <v>82</v>
      </c>
      <c r="G327" s="160">
        <f t="shared" ref="G327" si="66">G328</f>
        <v>78.068080000000009</v>
      </c>
      <c r="H327" s="131">
        <f t="shared" si="63"/>
        <v>95.204975609756104</v>
      </c>
    </row>
    <row r="328" spans="1:8" ht="18.75" x14ac:dyDescent="0.2">
      <c r="A328" s="145" t="s">
        <v>32</v>
      </c>
      <c r="B328" s="141" t="s">
        <v>988</v>
      </c>
      <c r="C328" s="141" t="s">
        <v>1022</v>
      </c>
      <c r="D328" s="146" t="s">
        <v>531</v>
      </c>
      <c r="E328" s="141">
        <v>850</v>
      </c>
      <c r="F328" s="160">
        <f>F329+F330</f>
        <v>82</v>
      </c>
      <c r="G328" s="160">
        <f>G329+G330+G331</f>
        <v>78.068080000000009</v>
      </c>
      <c r="H328" s="131">
        <f t="shared" si="63"/>
        <v>95.204975609756104</v>
      </c>
    </row>
    <row r="329" spans="1:8" s="82" customFormat="1" ht="18.75" hidden="1" x14ac:dyDescent="0.2">
      <c r="A329" s="3" t="s">
        <v>68</v>
      </c>
      <c r="B329" s="2" t="s">
        <v>992</v>
      </c>
      <c r="C329" s="2" t="s">
        <v>1022</v>
      </c>
      <c r="D329" s="4" t="s">
        <v>531</v>
      </c>
      <c r="E329" s="2" t="s">
        <v>69</v>
      </c>
      <c r="F329" s="62">
        <f>174-100</f>
        <v>74</v>
      </c>
      <c r="G329" s="62">
        <v>73.39</v>
      </c>
      <c r="H329" s="97">
        <f t="shared" si="63"/>
        <v>99.175675675675677</v>
      </c>
    </row>
    <row r="330" spans="1:8" s="82" customFormat="1" ht="18.75" hidden="1" x14ac:dyDescent="0.2">
      <c r="A330" s="3" t="s">
        <v>70</v>
      </c>
      <c r="B330" s="2" t="s">
        <v>992</v>
      </c>
      <c r="C330" s="2" t="s">
        <v>1022</v>
      </c>
      <c r="D330" s="4" t="s">
        <v>531</v>
      </c>
      <c r="E330" s="2" t="s">
        <v>71</v>
      </c>
      <c r="F330" s="62">
        <v>8</v>
      </c>
      <c r="G330" s="62">
        <v>3.468</v>
      </c>
      <c r="H330" s="97">
        <f t="shared" si="63"/>
        <v>43.35</v>
      </c>
    </row>
    <row r="331" spans="1:8" s="82" customFormat="1" ht="18.75" hidden="1" x14ac:dyDescent="0.2">
      <c r="A331" s="3"/>
      <c r="B331" s="2" t="s">
        <v>992</v>
      </c>
      <c r="C331" s="2" t="s">
        <v>1022</v>
      </c>
      <c r="D331" s="4" t="s">
        <v>531</v>
      </c>
      <c r="E331" s="2" t="s">
        <v>307</v>
      </c>
      <c r="F331" s="62">
        <v>1.2110000000000001</v>
      </c>
      <c r="G331" s="62">
        <v>1.21008</v>
      </c>
      <c r="H331" s="97"/>
    </row>
    <row r="332" spans="1:8" ht="47.25" x14ac:dyDescent="0.2">
      <c r="A332" s="135" t="s">
        <v>1027</v>
      </c>
      <c r="B332" s="136" t="s">
        <v>988</v>
      </c>
      <c r="C332" s="136" t="s">
        <v>1022</v>
      </c>
      <c r="D332" s="136" t="s">
        <v>552</v>
      </c>
      <c r="E332" s="161"/>
      <c r="F332" s="138">
        <f>F333+F338+F342</f>
        <v>98814</v>
      </c>
      <c r="G332" s="138">
        <f>G333+G338+G342</f>
        <v>96166.163560000001</v>
      </c>
      <c r="H332" s="131">
        <f t="shared" si="63"/>
        <v>97.320383306009276</v>
      </c>
    </row>
    <row r="333" spans="1:8" ht="47.25" x14ac:dyDescent="0.2">
      <c r="A333" s="150" t="s">
        <v>27</v>
      </c>
      <c r="B333" s="141" t="s">
        <v>988</v>
      </c>
      <c r="C333" s="141" t="s">
        <v>1022</v>
      </c>
      <c r="D333" s="146" t="s">
        <v>552</v>
      </c>
      <c r="E333" s="141" t="s">
        <v>28</v>
      </c>
      <c r="F333" s="147">
        <f>F334</f>
        <v>81054</v>
      </c>
      <c r="G333" s="147">
        <f>G334</f>
        <v>80767.282460000002</v>
      </c>
      <c r="H333" s="131">
        <f t="shared" si="63"/>
        <v>99.64626355269327</v>
      </c>
    </row>
    <row r="334" spans="1:8" ht="18.75" x14ac:dyDescent="0.2">
      <c r="A334" s="150" t="s">
        <v>30</v>
      </c>
      <c r="B334" s="141" t="s">
        <v>988</v>
      </c>
      <c r="C334" s="141" t="s">
        <v>1022</v>
      </c>
      <c r="D334" s="146" t="s">
        <v>552</v>
      </c>
      <c r="E334" s="141" t="s">
        <v>29</v>
      </c>
      <c r="F334" s="147">
        <f>F335+F336+F337</f>
        <v>81054</v>
      </c>
      <c r="G334" s="147">
        <f>G335+G336+G337</f>
        <v>80767.282460000002</v>
      </c>
      <c r="H334" s="131">
        <f t="shared" si="63"/>
        <v>99.64626355269327</v>
      </c>
    </row>
    <row r="335" spans="1:8" s="82" customFormat="1" ht="18.75" hidden="1" x14ac:dyDescent="0.2">
      <c r="A335" s="19" t="s">
        <v>223</v>
      </c>
      <c r="B335" s="2" t="s">
        <v>988</v>
      </c>
      <c r="C335" s="2" t="s">
        <v>1022</v>
      </c>
      <c r="D335" s="4" t="s">
        <v>552</v>
      </c>
      <c r="E335" s="2" t="s">
        <v>77</v>
      </c>
      <c r="F335" s="62">
        <f>37745+2317+6166+1350+1931-186+2329+1392</f>
        <v>53044</v>
      </c>
      <c r="G335" s="62">
        <v>53990.358959999998</v>
      </c>
      <c r="H335" s="97">
        <f t="shared" si="63"/>
        <v>101.78410180227735</v>
      </c>
    </row>
    <row r="336" spans="1:8" s="82" customFormat="1" ht="31.5" hidden="1" x14ac:dyDescent="0.2">
      <c r="A336" s="3" t="s">
        <v>79</v>
      </c>
      <c r="B336" s="2" t="s">
        <v>992</v>
      </c>
      <c r="C336" s="2" t="s">
        <v>1022</v>
      </c>
      <c r="D336" s="4" t="s">
        <v>552</v>
      </c>
      <c r="E336" s="2" t="s">
        <v>78</v>
      </c>
      <c r="F336" s="62">
        <f>7802+1044+484</f>
        <v>9330</v>
      </c>
      <c r="G336" s="62">
        <v>9330</v>
      </c>
      <c r="H336" s="97">
        <f t="shared" si="63"/>
        <v>100</v>
      </c>
    </row>
    <row r="337" spans="1:8" s="82" customFormat="1" ht="31.5" hidden="1" x14ac:dyDescent="0.2">
      <c r="A337" s="3" t="s">
        <v>137</v>
      </c>
      <c r="B337" s="2" t="s">
        <v>988</v>
      </c>
      <c r="C337" s="2" t="s">
        <v>1022</v>
      </c>
      <c r="D337" s="4" t="s">
        <v>552</v>
      </c>
      <c r="E337" s="2" t="s">
        <v>136</v>
      </c>
      <c r="F337" s="62">
        <f>13755+1015+1862+407+729-56+769+199</f>
        <v>18680</v>
      </c>
      <c r="G337" s="62">
        <v>17446.923500000001</v>
      </c>
      <c r="H337" s="97">
        <f t="shared" si="63"/>
        <v>93.39894807280514</v>
      </c>
    </row>
    <row r="338" spans="1:8" ht="18.75" x14ac:dyDescent="0.2">
      <c r="A338" s="145" t="s">
        <v>871</v>
      </c>
      <c r="B338" s="141" t="s">
        <v>988</v>
      </c>
      <c r="C338" s="141" t="s">
        <v>1022</v>
      </c>
      <c r="D338" s="146" t="s">
        <v>552</v>
      </c>
      <c r="E338" s="141">
        <v>200</v>
      </c>
      <c r="F338" s="160">
        <f>F339</f>
        <v>17266</v>
      </c>
      <c r="G338" s="160">
        <f t="shared" ref="G338" si="67">G339</f>
        <v>15143.543100000001</v>
      </c>
      <c r="H338" s="131">
        <f t="shared" si="63"/>
        <v>87.707303949959453</v>
      </c>
    </row>
    <row r="339" spans="1:8" ht="31.5" x14ac:dyDescent="0.2">
      <c r="A339" s="145" t="s">
        <v>17</v>
      </c>
      <c r="B339" s="141" t="s">
        <v>988</v>
      </c>
      <c r="C339" s="141" t="s">
        <v>1022</v>
      </c>
      <c r="D339" s="146" t="s">
        <v>552</v>
      </c>
      <c r="E339" s="141">
        <v>240</v>
      </c>
      <c r="F339" s="160">
        <f>F340+F341</f>
        <v>17266</v>
      </c>
      <c r="G339" s="160">
        <f t="shared" ref="G339" si="68">G340+G341</f>
        <v>15143.543100000001</v>
      </c>
      <c r="H339" s="131">
        <f t="shared" si="63"/>
        <v>87.707303949959453</v>
      </c>
    </row>
    <row r="340" spans="1:8" s="82" customFormat="1" ht="31.5" hidden="1" x14ac:dyDescent="0.2">
      <c r="A340" s="28" t="s">
        <v>367</v>
      </c>
      <c r="B340" s="2" t="s">
        <v>988</v>
      </c>
      <c r="C340" s="2" t="s">
        <v>1022</v>
      </c>
      <c r="D340" s="4" t="s">
        <v>552</v>
      </c>
      <c r="E340" s="2" t="s">
        <v>368</v>
      </c>
      <c r="F340" s="62">
        <f>430+16-429</f>
        <v>17</v>
      </c>
      <c r="G340" s="62">
        <v>16.224</v>
      </c>
      <c r="H340" s="97">
        <f t="shared" si="63"/>
        <v>95.435294117647061</v>
      </c>
    </row>
    <row r="341" spans="1:8" s="82" customFormat="1" ht="18.75" hidden="1" x14ac:dyDescent="0.2">
      <c r="A341" s="3" t="s">
        <v>548</v>
      </c>
      <c r="B341" s="2" t="s">
        <v>988</v>
      </c>
      <c r="C341" s="2" t="s">
        <v>1022</v>
      </c>
      <c r="D341" s="4" t="s">
        <v>552</v>
      </c>
      <c r="E341" s="2" t="s">
        <v>67</v>
      </c>
      <c r="F341" s="62">
        <f>12754+4501-36+700-670</f>
        <v>17249</v>
      </c>
      <c r="G341" s="62">
        <v>15127.319100000001</v>
      </c>
      <c r="H341" s="97">
        <f t="shared" si="63"/>
        <v>87.699687518117003</v>
      </c>
    </row>
    <row r="342" spans="1:8" ht="18.75" x14ac:dyDescent="0.2">
      <c r="A342" s="145" t="s">
        <v>13</v>
      </c>
      <c r="B342" s="141" t="s">
        <v>988</v>
      </c>
      <c r="C342" s="141" t="s">
        <v>1022</v>
      </c>
      <c r="D342" s="146" t="s">
        <v>552</v>
      </c>
      <c r="E342" s="141">
        <v>800</v>
      </c>
      <c r="F342" s="160">
        <f>F343</f>
        <v>494</v>
      </c>
      <c r="G342" s="160">
        <f t="shared" ref="G342" si="69">G343</f>
        <v>255.33800000000002</v>
      </c>
      <c r="H342" s="131">
        <f t="shared" si="63"/>
        <v>51.687854251012155</v>
      </c>
    </row>
    <row r="343" spans="1:8" ht="18.75" x14ac:dyDescent="0.2">
      <c r="A343" s="145" t="s">
        <v>32</v>
      </c>
      <c r="B343" s="141" t="s">
        <v>988</v>
      </c>
      <c r="C343" s="141" t="s">
        <v>1022</v>
      </c>
      <c r="D343" s="146" t="s">
        <v>552</v>
      </c>
      <c r="E343" s="141">
        <v>850</v>
      </c>
      <c r="F343" s="160">
        <f>F344+F345+F346</f>
        <v>494</v>
      </c>
      <c r="G343" s="178">
        <f t="shared" ref="G343" si="70">G344+G345+G346</f>
        <v>255.33800000000002</v>
      </c>
      <c r="H343" s="131">
        <f t="shared" si="63"/>
        <v>51.687854251012155</v>
      </c>
    </row>
    <row r="344" spans="1:8" s="82" customFormat="1" ht="18.75" hidden="1" x14ac:dyDescent="0.2">
      <c r="A344" s="3" t="s">
        <v>68</v>
      </c>
      <c r="B344" s="2" t="s">
        <v>988</v>
      </c>
      <c r="C344" s="2" t="s">
        <v>1022</v>
      </c>
      <c r="D344" s="4" t="s">
        <v>552</v>
      </c>
      <c r="E344" s="2" t="s">
        <v>69</v>
      </c>
      <c r="F344" s="62">
        <v>90</v>
      </c>
      <c r="G344" s="62">
        <v>0</v>
      </c>
      <c r="H344" s="97">
        <f t="shared" si="63"/>
        <v>0</v>
      </c>
    </row>
    <row r="345" spans="1:8" s="82" customFormat="1" ht="18.75" hidden="1" x14ac:dyDescent="0.2">
      <c r="A345" s="3" t="s">
        <v>70</v>
      </c>
      <c r="B345" s="2" t="s">
        <v>988</v>
      </c>
      <c r="C345" s="2" t="s">
        <v>1022</v>
      </c>
      <c r="D345" s="4" t="s">
        <v>552</v>
      </c>
      <c r="E345" s="2" t="s">
        <v>71</v>
      </c>
      <c r="F345" s="62">
        <f>150+10+125</f>
        <v>285</v>
      </c>
      <c r="G345" s="62">
        <v>137.05000000000001</v>
      </c>
      <c r="H345" s="97">
        <f t="shared" si="63"/>
        <v>48.087719298245617</v>
      </c>
    </row>
    <row r="346" spans="1:8" s="82" customFormat="1" ht="18.75" hidden="1" x14ac:dyDescent="0.2">
      <c r="A346" s="3" t="s">
        <v>308</v>
      </c>
      <c r="B346" s="2" t="s">
        <v>988</v>
      </c>
      <c r="C346" s="2" t="s">
        <v>1022</v>
      </c>
      <c r="D346" s="4" t="s">
        <v>552</v>
      </c>
      <c r="E346" s="2" t="s">
        <v>307</v>
      </c>
      <c r="F346" s="62">
        <f>20+99</f>
        <v>119</v>
      </c>
      <c r="G346" s="62">
        <v>118.288</v>
      </c>
      <c r="H346" s="97">
        <f t="shared" si="63"/>
        <v>99.401680672268895</v>
      </c>
    </row>
    <row r="347" spans="1:8" ht="18.75" x14ac:dyDescent="0.2">
      <c r="A347" s="135" t="s">
        <v>601</v>
      </c>
      <c r="B347" s="136" t="s">
        <v>992</v>
      </c>
      <c r="C347" s="136" t="s">
        <v>1022</v>
      </c>
      <c r="D347" s="136" t="s">
        <v>651</v>
      </c>
      <c r="E347" s="161"/>
      <c r="F347" s="138">
        <f>F348+F351</f>
        <v>2127</v>
      </c>
      <c r="G347" s="138">
        <f t="shared" ref="G347" si="71">G348+G351</f>
        <v>1939.9347299999999</v>
      </c>
      <c r="H347" s="131">
        <f t="shared" si="63"/>
        <v>91.205205923836388</v>
      </c>
    </row>
    <row r="348" spans="1:8" ht="18.75" x14ac:dyDescent="0.2">
      <c r="A348" s="145" t="s">
        <v>871</v>
      </c>
      <c r="B348" s="141" t="s">
        <v>992</v>
      </c>
      <c r="C348" s="141" t="s">
        <v>1022</v>
      </c>
      <c r="D348" s="141" t="s">
        <v>651</v>
      </c>
      <c r="E348" s="141" t="s">
        <v>15</v>
      </c>
      <c r="F348" s="147">
        <f t="shared" ref="F348:G349" si="72">F349</f>
        <v>312</v>
      </c>
      <c r="G348" s="147">
        <f t="shared" si="72"/>
        <v>162</v>
      </c>
      <c r="H348" s="131">
        <f t="shared" si="63"/>
        <v>51.923076923076927</v>
      </c>
    </row>
    <row r="349" spans="1:8" ht="31.5" x14ac:dyDescent="0.2">
      <c r="A349" s="145" t="s">
        <v>17</v>
      </c>
      <c r="B349" s="141" t="s">
        <v>992</v>
      </c>
      <c r="C349" s="141" t="s">
        <v>1022</v>
      </c>
      <c r="D349" s="141" t="s">
        <v>651</v>
      </c>
      <c r="E349" s="141" t="s">
        <v>16</v>
      </c>
      <c r="F349" s="147">
        <f t="shared" si="72"/>
        <v>312</v>
      </c>
      <c r="G349" s="147">
        <f t="shared" si="72"/>
        <v>162</v>
      </c>
      <c r="H349" s="131">
        <f t="shared" si="63"/>
        <v>51.923076923076927</v>
      </c>
    </row>
    <row r="350" spans="1:8" s="82" customFormat="1" ht="18.75" hidden="1" x14ac:dyDescent="0.2">
      <c r="A350" s="3" t="s">
        <v>548</v>
      </c>
      <c r="B350" s="2" t="s">
        <v>992</v>
      </c>
      <c r="C350" s="2" t="s">
        <v>1022</v>
      </c>
      <c r="D350" s="2" t="s">
        <v>651</v>
      </c>
      <c r="E350" s="2" t="s">
        <v>67</v>
      </c>
      <c r="F350" s="10">
        <f>1500-1200+12+255-255</f>
        <v>312</v>
      </c>
      <c r="G350" s="10">
        <v>162</v>
      </c>
      <c r="H350" s="97">
        <f t="shared" si="63"/>
        <v>51.923076923076927</v>
      </c>
    </row>
    <row r="351" spans="1:8" ht="18.75" x14ac:dyDescent="0.2">
      <c r="A351" s="145" t="s">
        <v>13</v>
      </c>
      <c r="B351" s="141" t="s">
        <v>992</v>
      </c>
      <c r="C351" s="141" t="s">
        <v>1022</v>
      </c>
      <c r="D351" s="141" t="s">
        <v>651</v>
      </c>
      <c r="E351" s="141" t="s">
        <v>14</v>
      </c>
      <c r="F351" s="147">
        <f>F352</f>
        <v>1815</v>
      </c>
      <c r="G351" s="147">
        <f t="shared" ref="G351:G352" si="73">G352</f>
        <v>1777.9347299999999</v>
      </c>
      <c r="H351" s="131">
        <f t="shared" si="63"/>
        <v>97.95783636363636</v>
      </c>
    </row>
    <row r="352" spans="1:8" ht="18.75" x14ac:dyDescent="0.2">
      <c r="A352" s="145" t="s">
        <v>456</v>
      </c>
      <c r="B352" s="141" t="s">
        <v>992</v>
      </c>
      <c r="C352" s="141" t="s">
        <v>1022</v>
      </c>
      <c r="D352" s="141" t="s">
        <v>651</v>
      </c>
      <c r="E352" s="141" t="s">
        <v>457</v>
      </c>
      <c r="F352" s="147">
        <f>F353</f>
        <v>1815</v>
      </c>
      <c r="G352" s="147">
        <f t="shared" si="73"/>
        <v>1777.9347299999999</v>
      </c>
      <c r="H352" s="131">
        <f t="shared" si="63"/>
        <v>97.95783636363636</v>
      </c>
    </row>
    <row r="353" spans="1:8" s="82" customFormat="1" ht="18.75" hidden="1" x14ac:dyDescent="0.2">
      <c r="A353" s="3" t="s">
        <v>1007</v>
      </c>
      <c r="B353" s="2" t="s">
        <v>992</v>
      </c>
      <c r="C353" s="2" t="s">
        <v>1022</v>
      </c>
      <c r="D353" s="2" t="s">
        <v>651</v>
      </c>
      <c r="E353" s="2" t="s">
        <v>458</v>
      </c>
      <c r="F353" s="10">
        <f>1200-75+100+290+300</f>
        <v>1815</v>
      </c>
      <c r="G353" s="10">
        <v>1777.9347299999999</v>
      </c>
      <c r="H353" s="97">
        <f t="shared" si="63"/>
        <v>97.95783636363636</v>
      </c>
    </row>
    <row r="354" spans="1:8" ht="31.5" x14ac:dyDescent="0.2">
      <c r="A354" s="135" t="s">
        <v>703</v>
      </c>
      <c r="B354" s="141" t="s">
        <v>988</v>
      </c>
      <c r="C354" s="141" t="s">
        <v>1022</v>
      </c>
      <c r="D354" s="136" t="s">
        <v>702</v>
      </c>
      <c r="E354" s="161"/>
      <c r="F354" s="179">
        <f>F355+F358</f>
        <v>9925</v>
      </c>
      <c r="G354" s="179">
        <f>G355+G358</f>
        <v>9869.4500000000007</v>
      </c>
      <c r="H354" s="131">
        <f t="shared" si="63"/>
        <v>99.440302267002522</v>
      </c>
    </row>
    <row r="355" spans="1:8" ht="18.75" x14ac:dyDescent="0.2">
      <c r="A355" s="145" t="s">
        <v>871</v>
      </c>
      <c r="B355" s="141" t="s">
        <v>988</v>
      </c>
      <c r="C355" s="141" t="s">
        <v>1022</v>
      </c>
      <c r="D355" s="146" t="s">
        <v>702</v>
      </c>
      <c r="E355" s="141">
        <v>200</v>
      </c>
      <c r="F355" s="160">
        <f>F356</f>
        <v>9900</v>
      </c>
      <c r="G355" s="160">
        <f t="shared" ref="G355:G356" si="74">G356</f>
        <v>9849.5</v>
      </c>
      <c r="H355" s="131">
        <f t="shared" si="63"/>
        <v>99.48989898989899</v>
      </c>
    </row>
    <row r="356" spans="1:8" ht="31.5" x14ac:dyDescent="0.2">
      <c r="A356" s="145" t="s">
        <v>17</v>
      </c>
      <c r="B356" s="141" t="s">
        <v>988</v>
      </c>
      <c r="C356" s="141" t="s">
        <v>1022</v>
      </c>
      <c r="D356" s="146" t="s">
        <v>702</v>
      </c>
      <c r="E356" s="141">
        <v>240</v>
      </c>
      <c r="F356" s="160">
        <f>F357</f>
        <v>9900</v>
      </c>
      <c r="G356" s="160">
        <f t="shared" si="74"/>
        <v>9849.5</v>
      </c>
      <c r="H356" s="131">
        <f t="shared" si="63"/>
        <v>99.48989898989899</v>
      </c>
    </row>
    <row r="357" spans="1:8" s="82" customFormat="1" ht="18.75" hidden="1" x14ac:dyDescent="0.2">
      <c r="A357" s="3" t="s">
        <v>548</v>
      </c>
      <c r="B357" s="2" t="s">
        <v>988</v>
      </c>
      <c r="C357" s="2" t="s">
        <v>1022</v>
      </c>
      <c r="D357" s="4" t="s">
        <v>702</v>
      </c>
      <c r="E357" s="2" t="s">
        <v>67</v>
      </c>
      <c r="F357" s="62">
        <f>10000-150+50</f>
        <v>9900</v>
      </c>
      <c r="G357" s="62">
        <v>9849.5</v>
      </c>
      <c r="H357" s="97">
        <f t="shared" si="63"/>
        <v>99.48989898989899</v>
      </c>
    </row>
    <row r="358" spans="1:8" ht="18.75" x14ac:dyDescent="0.2">
      <c r="A358" s="145" t="s">
        <v>13</v>
      </c>
      <c r="B358" s="141" t="s">
        <v>988</v>
      </c>
      <c r="C358" s="141" t="s">
        <v>1022</v>
      </c>
      <c r="D358" s="146" t="s">
        <v>702</v>
      </c>
      <c r="E358" s="141">
        <v>800</v>
      </c>
      <c r="F358" s="160">
        <f>F359</f>
        <v>25</v>
      </c>
      <c r="G358" s="160">
        <f t="shared" ref="G358:G359" si="75">G359</f>
        <v>19.95</v>
      </c>
      <c r="H358" s="131">
        <f t="shared" si="63"/>
        <v>79.8</v>
      </c>
    </row>
    <row r="359" spans="1:8" ht="18.75" x14ac:dyDescent="0.2">
      <c r="A359" s="145" t="s">
        <v>32</v>
      </c>
      <c r="B359" s="141" t="s">
        <v>988</v>
      </c>
      <c r="C359" s="141" t="s">
        <v>1022</v>
      </c>
      <c r="D359" s="146" t="s">
        <v>702</v>
      </c>
      <c r="E359" s="141">
        <v>850</v>
      </c>
      <c r="F359" s="160">
        <f>F360</f>
        <v>25</v>
      </c>
      <c r="G359" s="160">
        <f t="shared" si="75"/>
        <v>19.95</v>
      </c>
      <c r="H359" s="131">
        <f t="shared" si="63"/>
        <v>79.8</v>
      </c>
    </row>
    <row r="360" spans="1:8" s="82" customFormat="1" ht="18.75" hidden="1" x14ac:dyDescent="0.2">
      <c r="A360" s="3" t="s">
        <v>70</v>
      </c>
      <c r="B360" s="2" t="s">
        <v>988</v>
      </c>
      <c r="C360" s="2" t="s">
        <v>1022</v>
      </c>
      <c r="D360" s="4" t="s">
        <v>702</v>
      </c>
      <c r="E360" s="2" t="s">
        <v>71</v>
      </c>
      <c r="F360" s="62">
        <f>150-125</f>
        <v>25</v>
      </c>
      <c r="G360" s="62">
        <v>19.95</v>
      </c>
      <c r="H360" s="97">
        <f t="shared" si="63"/>
        <v>79.8</v>
      </c>
    </row>
    <row r="361" spans="1:8" ht="18.75" x14ac:dyDescent="0.2">
      <c r="A361" s="135" t="s">
        <v>1004</v>
      </c>
      <c r="B361" s="136" t="s">
        <v>992</v>
      </c>
      <c r="C361" s="136">
        <v>13</v>
      </c>
      <c r="D361" s="136" t="s">
        <v>359</v>
      </c>
      <c r="E361" s="161"/>
      <c r="F361" s="138">
        <f>F362</f>
        <v>6105</v>
      </c>
      <c r="G361" s="138">
        <f t="shared" ref="G361" si="76">G362</f>
        <v>4976.1881899999998</v>
      </c>
      <c r="H361" s="131">
        <f t="shared" si="63"/>
        <v>81.510044062244063</v>
      </c>
    </row>
    <row r="362" spans="1:8" ht="18.75" x14ac:dyDescent="0.2">
      <c r="A362" s="145" t="s">
        <v>871</v>
      </c>
      <c r="B362" s="141" t="s">
        <v>992</v>
      </c>
      <c r="C362" s="141">
        <v>13</v>
      </c>
      <c r="D362" s="146" t="s">
        <v>359</v>
      </c>
      <c r="E362" s="141">
        <v>200</v>
      </c>
      <c r="F362" s="147">
        <f>F363</f>
        <v>6105</v>
      </c>
      <c r="G362" s="147">
        <f>G363</f>
        <v>4976.1881899999998</v>
      </c>
      <c r="H362" s="131">
        <f t="shared" si="63"/>
        <v>81.510044062244063</v>
      </c>
    </row>
    <row r="363" spans="1:8" ht="31.5" x14ac:dyDescent="0.2">
      <c r="A363" s="145" t="s">
        <v>17</v>
      </c>
      <c r="B363" s="141" t="s">
        <v>988</v>
      </c>
      <c r="C363" s="141">
        <v>13</v>
      </c>
      <c r="D363" s="146" t="s">
        <v>359</v>
      </c>
      <c r="E363" s="141">
        <v>240</v>
      </c>
      <c r="F363" s="147">
        <f>F364</f>
        <v>6105</v>
      </c>
      <c r="G363" s="147">
        <f t="shared" ref="G363" si="77">G364</f>
        <v>4976.1881899999998</v>
      </c>
      <c r="H363" s="131">
        <f t="shared" si="63"/>
        <v>81.510044062244063</v>
      </c>
    </row>
    <row r="364" spans="1:8" s="82" customFormat="1" ht="18.75" hidden="1" x14ac:dyDescent="0.2">
      <c r="A364" s="3" t="s">
        <v>548</v>
      </c>
      <c r="B364" s="2" t="s">
        <v>988</v>
      </c>
      <c r="C364" s="2">
        <v>13</v>
      </c>
      <c r="D364" s="4" t="s">
        <v>359</v>
      </c>
      <c r="E364" s="2" t="s">
        <v>67</v>
      </c>
      <c r="F364" s="62">
        <f>6595+268+162-1100+180</f>
        <v>6105</v>
      </c>
      <c r="G364" s="62">
        <v>4976.1881899999998</v>
      </c>
      <c r="H364" s="97">
        <f t="shared" si="63"/>
        <v>81.510044062244063</v>
      </c>
    </row>
    <row r="365" spans="1:8" ht="18.75" x14ac:dyDescent="0.2">
      <c r="A365" s="135" t="s">
        <v>361</v>
      </c>
      <c r="B365" s="136" t="s">
        <v>992</v>
      </c>
      <c r="C365" s="136" t="s">
        <v>1022</v>
      </c>
      <c r="D365" s="136" t="s">
        <v>652</v>
      </c>
      <c r="E365" s="161"/>
      <c r="F365" s="138">
        <f>F366</f>
        <v>1065</v>
      </c>
      <c r="G365" s="138">
        <f t="shared" ref="F365:G367" si="78">G366</f>
        <v>1064.202</v>
      </c>
      <c r="H365" s="131">
        <f t="shared" si="63"/>
        <v>99.925070422535214</v>
      </c>
    </row>
    <row r="366" spans="1:8" ht="18.75" x14ac:dyDescent="0.2">
      <c r="A366" s="145" t="s">
        <v>13</v>
      </c>
      <c r="B366" s="141" t="s">
        <v>992</v>
      </c>
      <c r="C366" s="141" t="s">
        <v>1022</v>
      </c>
      <c r="D366" s="141" t="s">
        <v>652</v>
      </c>
      <c r="E366" s="141">
        <v>800</v>
      </c>
      <c r="F366" s="147">
        <f t="shared" si="78"/>
        <v>1065</v>
      </c>
      <c r="G366" s="147">
        <f t="shared" si="78"/>
        <v>1064.202</v>
      </c>
      <c r="H366" s="131">
        <f t="shared" si="63"/>
        <v>99.925070422535214</v>
      </c>
    </row>
    <row r="367" spans="1:8" ht="18.75" x14ac:dyDescent="0.2">
      <c r="A367" s="145" t="s">
        <v>32</v>
      </c>
      <c r="B367" s="141" t="s">
        <v>992</v>
      </c>
      <c r="C367" s="141" t="s">
        <v>1022</v>
      </c>
      <c r="D367" s="141" t="s">
        <v>652</v>
      </c>
      <c r="E367" s="141">
        <v>850</v>
      </c>
      <c r="F367" s="147">
        <f t="shared" si="78"/>
        <v>1065</v>
      </c>
      <c r="G367" s="147">
        <f t="shared" si="78"/>
        <v>1064.202</v>
      </c>
      <c r="H367" s="131">
        <f t="shared" si="63"/>
        <v>99.925070422535214</v>
      </c>
    </row>
    <row r="368" spans="1:8" s="82" customFormat="1" ht="18.75" hidden="1" x14ac:dyDescent="0.2">
      <c r="A368" s="3" t="s">
        <v>308</v>
      </c>
      <c r="B368" s="2" t="s">
        <v>992</v>
      </c>
      <c r="C368" s="2" t="s">
        <v>1022</v>
      </c>
      <c r="D368" s="2" t="s">
        <v>652</v>
      </c>
      <c r="E368" s="2" t="s">
        <v>307</v>
      </c>
      <c r="F368" s="62">
        <f>1617-552</f>
        <v>1065</v>
      </c>
      <c r="G368" s="62">
        <v>1064.202</v>
      </c>
      <c r="H368" s="97">
        <f t="shared" si="63"/>
        <v>99.925070422535214</v>
      </c>
    </row>
    <row r="369" spans="1:8" ht="18.75" x14ac:dyDescent="0.2">
      <c r="A369" s="135" t="s">
        <v>544</v>
      </c>
      <c r="B369" s="136" t="s">
        <v>988</v>
      </c>
      <c r="C369" s="136">
        <v>13</v>
      </c>
      <c r="D369" s="136" t="s">
        <v>534</v>
      </c>
      <c r="E369" s="161"/>
      <c r="F369" s="138">
        <f>F370+F374</f>
        <v>38057</v>
      </c>
      <c r="G369" s="138">
        <f t="shared" ref="G369" si="79">G370+G374</f>
        <v>33328.303749999999</v>
      </c>
      <c r="H369" s="131">
        <f t="shared" si="63"/>
        <v>87.574700449326002</v>
      </c>
    </row>
    <row r="370" spans="1:8" ht="18.75" x14ac:dyDescent="0.2">
      <c r="A370" s="145" t="s">
        <v>871</v>
      </c>
      <c r="B370" s="141" t="s">
        <v>988</v>
      </c>
      <c r="C370" s="141">
        <v>13</v>
      </c>
      <c r="D370" s="146" t="s">
        <v>534</v>
      </c>
      <c r="E370" s="141" t="s">
        <v>15</v>
      </c>
      <c r="F370" s="147">
        <f t="shared" ref="F370:G370" si="80">F371</f>
        <v>36682</v>
      </c>
      <c r="G370" s="147">
        <f t="shared" si="80"/>
        <v>31953.615749999997</v>
      </c>
      <c r="H370" s="131">
        <f t="shared" si="63"/>
        <v>87.109797039419874</v>
      </c>
    </row>
    <row r="371" spans="1:8" ht="31.5" x14ac:dyDescent="0.2">
      <c r="A371" s="145" t="s">
        <v>17</v>
      </c>
      <c r="B371" s="141" t="s">
        <v>988</v>
      </c>
      <c r="C371" s="141">
        <v>13</v>
      </c>
      <c r="D371" s="146" t="s">
        <v>534</v>
      </c>
      <c r="E371" s="141" t="s">
        <v>16</v>
      </c>
      <c r="F371" s="147">
        <f>F373+F372</f>
        <v>36682</v>
      </c>
      <c r="G371" s="147">
        <f t="shared" ref="G371" si="81">G373+G372</f>
        <v>31953.615749999997</v>
      </c>
      <c r="H371" s="131">
        <f t="shared" si="63"/>
        <v>87.109797039419874</v>
      </c>
    </row>
    <row r="372" spans="1:8" s="82" customFormat="1" ht="31.5" hidden="1" x14ac:dyDescent="0.2">
      <c r="A372" s="46" t="s">
        <v>787</v>
      </c>
      <c r="B372" s="2" t="s">
        <v>988</v>
      </c>
      <c r="C372" s="2">
        <v>13</v>
      </c>
      <c r="D372" s="4" t="s">
        <v>534</v>
      </c>
      <c r="E372" s="2" t="s">
        <v>451</v>
      </c>
      <c r="F372" s="10">
        <f>4182-960</f>
        <v>3222</v>
      </c>
      <c r="G372" s="10">
        <v>3219.5389599999999</v>
      </c>
      <c r="H372" s="97">
        <f t="shared" si="63"/>
        <v>99.923617628801992</v>
      </c>
    </row>
    <row r="373" spans="1:8" s="82" customFormat="1" ht="18.75" hidden="1" x14ac:dyDescent="0.2">
      <c r="A373" s="3" t="s">
        <v>548</v>
      </c>
      <c r="B373" s="2" t="s">
        <v>988</v>
      </c>
      <c r="C373" s="2">
        <v>13</v>
      </c>
      <c r="D373" s="4" t="s">
        <v>534</v>
      </c>
      <c r="E373" s="2" t="s">
        <v>67</v>
      </c>
      <c r="F373" s="62">
        <f>31376-1375+315+2003+60+467+200+414</f>
        <v>33460</v>
      </c>
      <c r="G373" s="62">
        <v>28734.076789999999</v>
      </c>
      <c r="H373" s="97">
        <f t="shared" si="63"/>
        <v>85.875901942618043</v>
      </c>
    </row>
    <row r="374" spans="1:8" ht="18.75" x14ac:dyDescent="0.2">
      <c r="A374" s="145" t="s">
        <v>13</v>
      </c>
      <c r="B374" s="141" t="s">
        <v>988</v>
      </c>
      <c r="C374" s="141">
        <v>13</v>
      </c>
      <c r="D374" s="146" t="s">
        <v>534</v>
      </c>
      <c r="E374" s="141" t="s">
        <v>14</v>
      </c>
      <c r="F374" s="160">
        <f>F375</f>
        <v>1375</v>
      </c>
      <c r="G374" s="160">
        <f t="shared" ref="G374:G375" si="82">G375</f>
        <v>1374.6880000000001</v>
      </c>
      <c r="H374" s="131">
        <f t="shared" si="63"/>
        <v>99.977309090909088</v>
      </c>
    </row>
    <row r="375" spans="1:8" ht="18.75" x14ac:dyDescent="0.2">
      <c r="A375" s="145" t="s">
        <v>32</v>
      </c>
      <c r="B375" s="141" t="s">
        <v>988</v>
      </c>
      <c r="C375" s="141">
        <v>13</v>
      </c>
      <c r="D375" s="146" t="s">
        <v>534</v>
      </c>
      <c r="E375" s="141" t="s">
        <v>31</v>
      </c>
      <c r="F375" s="160">
        <f>F376</f>
        <v>1375</v>
      </c>
      <c r="G375" s="160">
        <f t="shared" si="82"/>
        <v>1374.6880000000001</v>
      </c>
      <c r="H375" s="131">
        <f t="shared" si="63"/>
        <v>99.977309090909088</v>
      </c>
    </row>
    <row r="376" spans="1:8" s="82" customFormat="1" ht="18.75" hidden="1" x14ac:dyDescent="0.2">
      <c r="A376" s="3" t="s">
        <v>68</v>
      </c>
      <c r="B376" s="2" t="s">
        <v>988</v>
      </c>
      <c r="C376" s="2">
        <v>13</v>
      </c>
      <c r="D376" s="4" t="s">
        <v>534</v>
      </c>
      <c r="E376" s="2" t="s">
        <v>69</v>
      </c>
      <c r="F376" s="62">
        <v>1375</v>
      </c>
      <c r="G376" s="62">
        <v>1374.6880000000001</v>
      </c>
      <c r="H376" s="97">
        <f t="shared" si="63"/>
        <v>99.977309090909088</v>
      </c>
    </row>
    <row r="377" spans="1:8" ht="31.5" x14ac:dyDescent="0.2">
      <c r="A377" s="135" t="s">
        <v>535</v>
      </c>
      <c r="B377" s="136" t="s">
        <v>992</v>
      </c>
      <c r="C377" s="136">
        <v>13</v>
      </c>
      <c r="D377" s="136" t="s">
        <v>536</v>
      </c>
      <c r="E377" s="161"/>
      <c r="F377" s="138">
        <f t="shared" ref="F377:G383" si="83">F378</f>
        <v>1788</v>
      </c>
      <c r="G377" s="138">
        <f t="shared" si="83"/>
        <v>1740.70352</v>
      </c>
      <c r="H377" s="131">
        <f t="shared" si="63"/>
        <v>97.354782997762868</v>
      </c>
    </row>
    <row r="378" spans="1:8" ht="18.75" x14ac:dyDescent="0.2">
      <c r="A378" s="145" t="s">
        <v>871</v>
      </c>
      <c r="B378" s="141" t="s">
        <v>988</v>
      </c>
      <c r="C378" s="141">
        <v>13</v>
      </c>
      <c r="D378" s="146" t="s">
        <v>536</v>
      </c>
      <c r="E378" s="141" t="s">
        <v>15</v>
      </c>
      <c r="F378" s="147">
        <f t="shared" si="83"/>
        <v>1788</v>
      </c>
      <c r="G378" s="147">
        <f t="shared" si="83"/>
        <v>1740.70352</v>
      </c>
      <c r="H378" s="131">
        <f t="shared" si="63"/>
        <v>97.354782997762868</v>
      </c>
    </row>
    <row r="379" spans="1:8" ht="31.5" x14ac:dyDescent="0.2">
      <c r="A379" s="145" t="s">
        <v>17</v>
      </c>
      <c r="B379" s="141" t="s">
        <v>988</v>
      </c>
      <c r="C379" s="141">
        <v>13</v>
      </c>
      <c r="D379" s="146" t="s">
        <v>536</v>
      </c>
      <c r="E379" s="141" t="s">
        <v>16</v>
      </c>
      <c r="F379" s="147">
        <f t="shared" si="83"/>
        <v>1788</v>
      </c>
      <c r="G379" s="147">
        <f t="shared" si="83"/>
        <v>1740.70352</v>
      </c>
      <c r="H379" s="131">
        <f t="shared" si="63"/>
        <v>97.354782997762868</v>
      </c>
    </row>
    <row r="380" spans="1:8" s="82" customFormat="1" ht="18.75" hidden="1" x14ac:dyDescent="0.2">
      <c r="A380" s="3" t="s">
        <v>548</v>
      </c>
      <c r="B380" s="2" t="s">
        <v>988</v>
      </c>
      <c r="C380" s="2">
        <v>13</v>
      </c>
      <c r="D380" s="4" t="s">
        <v>536</v>
      </c>
      <c r="E380" s="2" t="s">
        <v>67</v>
      </c>
      <c r="F380" s="62">
        <f>1747+148-257+150</f>
        <v>1788</v>
      </c>
      <c r="G380" s="62">
        <v>1740.70352</v>
      </c>
      <c r="H380" s="97">
        <f t="shared" ref="H380:H439" si="84">G380/F380*100</f>
        <v>97.354782997762868</v>
      </c>
    </row>
    <row r="381" spans="1:8" ht="18.75" x14ac:dyDescent="0.2">
      <c r="A381" s="135" t="s">
        <v>922</v>
      </c>
      <c r="B381" s="136" t="s">
        <v>988</v>
      </c>
      <c r="C381" s="136">
        <v>13</v>
      </c>
      <c r="D381" s="137" t="s">
        <v>919</v>
      </c>
      <c r="E381" s="136"/>
      <c r="F381" s="138">
        <f t="shared" si="83"/>
        <v>453</v>
      </c>
      <c r="G381" s="138">
        <f t="shared" si="83"/>
        <v>452.68515000000002</v>
      </c>
      <c r="H381" s="131">
        <f t="shared" si="84"/>
        <v>99.930496688741727</v>
      </c>
    </row>
    <row r="382" spans="1:8" ht="18.75" x14ac:dyDescent="0.2">
      <c r="A382" s="145" t="s">
        <v>871</v>
      </c>
      <c r="B382" s="141" t="s">
        <v>988</v>
      </c>
      <c r="C382" s="141">
        <v>13</v>
      </c>
      <c r="D382" s="146" t="s">
        <v>919</v>
      </c>
      <c r="E382" s="141" t="s">
        <v>15</v>
      </c>
      <c r="F382" s="147">
        <f t="shared" si="83"/>
        <v>453</v>
      </c>
      <c r="G382" s="147">
        <f t="shared" si="83"/>
        <v>452.68515000000002</v>
      </c>
      <c r="H382" s="131">
        <f t="shared" si="84"/>
        <v>99.930496688741727</v>
      </c>
    </row>
    <row r="383" spans="1:8" ht="31.5" x14ac:dyDescent="0.2">
      <c r="A383" s="145" t="s">
        <v>17</v>
      </c>
      <c r="B383" s="141" t="s">
        <v>988</v>
      </c>
      <c r="C383" s="141">
        <v>13</v>
      </c>
      <c r="D383" s="146" t="s">
        <v>919</v>
      </c>
      <c r="E383" s="141" t="s">
        <v>16</v>
      </c>
      <c r="F383" s="147">
        <f t="shared" si="83"/>
        <v>453</v>
      </c>
      <c r="G383" s="147">
        <f t="shared" si="83"/>
        <v>452.68515000000002</v>
      </c>
      <c r="H383" s="131">
        <f t="shared" si="84"/>
        <v>99.930496688741727</v>
      </c>
    </row>
    <row r="384" spans="1:8" s="82" customFormat="1" ht="18.75" hidden="1" x14ac:dyDescent="0.2">
      <c r="A384" s="3" t="s">
        <v>548</v>
      </c>
      <c r="B384" s="2" t="s">
        <v>988</v>
      </c>
      <c r="C384" s="2">
        <v>13</v>
      </c>
      <c r="D384" s="4" t="s">
        <v>919</v>
      </c>
      <c r="E384" s="2" t="s">
        <v>67</v>
      </c>
      <c r="F384" s="62">
        <v>453</v>
      </c>
      <c r="G384" s="62">
        <v>452.68515000000002</v>
      </c>
      <c r="H384" s="97">
        <f t="shared" si="84"/>
        <v>99.930496688741727</v>
      </c>
    </row>
    <row r="385" spans="1:8" ht="31.5" x14ac:dyDescent="0.2">
      <c r="A385" s="132" t="s">
        <v>1028</v>
      </c>
      <c r="B385" s="133" t="s">
        <v>988</v>
      </c>
      <c r="C385" s="133" t="s">
        <v>1022</v>
      </c>
      <c r="D385" s="133" t="s">
        <v>169</v>
      </c>
      <c r="E385" s="133"/>
      <c r="F385" s="134">
        <f>F386+F412</f>
        <v>41397</v>
      </c>
      <c r="G385" s="134">
        <f>G386+G412</f>
        <v>39741.790049999996</v>
      </c>
      <c r="H385" s="131">
        <f t="shared" si="84"/>
        <v>96.001618595550397</v>
      </c>
    </row>
    <row r="386" spans="1:8" ht="31.5" x14ac:dyDescent="0.2">
      <c r="A386" s="132" t="s">
        <v>630</v>
      </c>
      <c r="B386" s="133" t="s">
        <v>988</v>
      </c>
      <c r="C386" s="133" t="s">
        <v>1022</v>
      </c>
      <c r="D386" s="139" t="s">
        <v>631</v>
      </c>
      <c r="E386" s="161"/>
      <c r="F386" s="134">
        <f>F387+F391+F408</f>
        <v>15619</v>
      </c>
      <c r="G386" s="134">
        <f>G387+G391+G408</f>
        <v>15208.47105</v>
      </c>
      <c r="H386" s="131">
        <f t="shared" si="84"/>
        <v>97.371605416479937</v>
      </c>
    </row>
    <row r="387" spans="1:8" ht="18.75" x14ac:dyDescent="0.2">
      <c r="A387" s="140" t="s">
        <v>1029</v>
      </c>
      <c r="B387" s="148" t="s">
        <v>988</v>
      </c>
      <c r="C387" s="148" t="s">
        <v>1022</v>
      </c>
      <c r="D387" s="142" t="s">
        <v>633</v>
      </c>
      <c r="E387" s="148"/>
      <c r="F387" s="144">
        <f t="shared" ref="F387:G389" si="85">F388</f>
        <v>1856.5</v>
      </c>
      <c r="G387" s="144">
        <f t="shared" si="85"/>
        <v>1855.77333</v>
      </c>
      <c r="H387" s="131">
        <f t="shared" si="84"/>
        <v>99.960858066253707</v>
      </c>
    </row>
    <row r="388" spans="1:8" ht="18.75" x14ac:dyDescent="0.2">
      <c r="A388" s="145" t="s">
        <v>871</v>
      </c>
      <c r="B388" s="141" t="s">
        <v>988</v>
      </c>
      <c r="C388" s="141" t="s">
        <v>1022</v>
      </c>
      <c r="D388" s="146" t="s">
        <v>633</v>
      </c>
      <c r="E388" s="141" t="s">
        <v>15</v>
      </c>
      <c r="F388" s="147">
        <f t="shared" si="85"/>
        <v>1856.5</v>
      </c>
      <c r="G388" s="147">
        <f t="shared" si="85"/>
        <v>1855.77333</v>
      </c>
      <c r="H388" s="131">
        <f t="shared" si="84"/>
        <v>99.960858066253707</v>
      </c>
    </row>
    <row r="389" spans="1:8" ht="31.5" x14ac:dyDescent="0.2">
      <c r="A389" s="145" t="s">
        <v>17</v>
      </c>
      <c r="B389" s="141" t="s">
        <v>992</v>
      </c>
      <c r="C389" s="141" t="s">
        <v>1022</v>
      </c>
      <c r="D389" s="146" t="s">
        <v>633</v>
      </c>
      <c r="E389" s="141" t="s">
        <v>16</v>
      </c>
      <c r="F389" s="147">
        <f t="shared" si="85"/>
        <v>1856.5</v>
      </c>
      <c r="G389" s="147">
        <f t="shared" si="85"/>
        <v>1855.77333</v>
      </c>
      <c r="H389" s="131">
        <f t="shared" si="84"/>
        <v>99.960858066253707</v>
      </c>
    </row>
    <row r="390" spans="1:8" s="82" customFormat="1" ht="18.75" hidden="1" x14ac:dyDescent="0.2">
      <c r="A390" s="3" t="s">
        <v>548</v>
      </c>
      <c r="B390" s="2" t="s">
        <v>992</v>
      </c>
      <c r="C390" s="2" t="s">
        <v>1022</v>
      </c>
      <c r="D390" s="4" t="s">
        <v>633</v>
      </c>
      <c r="E390" s="2" t="s">
        <v>67</v>
      </c>
      <c r="F390" s="62">
        <f>1100+200-800-110+1500-33.5</f>
        <v>1856.5</v>
      </c>
      <c r="G390" s="62">
        <v>1855.77333</v>
      </c>
      <c r="H390" s="97">
        <f t="shared" si="84"/>
        <v>99.960858066253707</v>
      </c>
    </row>
    <row r="391" spans="1:8" ht="18.75" x14ac:dyDescent="0.2">
      <c r="A391" s="140" t="s">
        <v>634</v>
      </c>
      <c r="B391" s="148" t="s">
        <v>992</v>
      </c>
      <c r="C391" s="148" t="s">
        <v>1022</v>
      </c>
      <c r="D391" s="142" t="s">
        <v>635</v>
      </c>
      <c r="E391" s="148"/>
      <c r="F391" s="144">
        <f>F392+F400+F404</f>
        <v>2929.5</v>
      </c>
      <c r="G391" s="144">
        <f>G392+G400+G404</f>
        <v>2520.1055999999999</v>
      </c>
      <c r="H391" s="131">
        <f t="shared" si="84"/>
        <v>86.025110087045562</v>
      </c>
    </row>
    <row r="392" spans="1:8" ht="18.75" x14ac:dyDescent="0.2">
      <c r="A392" s="140" t="s">
        <v>764</v>
      </c>
      <c r="B392" s="148" t="s">
        <v>992</v>
      </c>
      <c r="C392" s="148" t="s">
        <v>1022</v>
      </c>
      <c r="D392" s="142" t="s">
        <v>637</v>
      </c>
      <c r="E392" s="148"/>
      <c r="F392" s="144">
        <f>F393+F396</f>
        <v>2426.5</v>
      </c>
      <c r="G392" s="144">
        <f t="shared" ref="G392" si="86">G393+G396</f>
        <v>2017.2356</v>
      </c>
      <c r="H392" s="131">
        <f t="shared" si="84"/>
        <v>83.133550381207499</v>
      </c>
    </row>
    <row r="393" spans="1:8" ht="18.75" x14ac:dyDescent="0.2">
      <c r="A393" s="145" t="s">
        <v>871</v>
      </c>
      <c r="B393" s="141" t="s">
        <v>992</v>
      </c>
      <c r="C393" s="141" t="s">
        <v>1022</v>
      </c>
      <c r="D393" s="146" t="s">
        <v>637</v>
      </c>
      <c r="E393" s="141" t="s">
        <v>15</v>
      </c>
      <c r="F393" s="160">
        <f t="shared" ref="F393:G394" si="87">F394</f>
        <v>2124.5</v>
      </c>
      <c r="G393" s="160">
        <f t="shared" si="87"/>
        <v>1720.02784</v>
      </c>
      <c r="H393" s="131">
        <f t="shared" si="84"/>
        <v>80.961536361496826</v>
      </c>
    </row>
    <row r="394" spans="1:8" ht="31.5" x14ac:dyDescent="0.2">
      <c r="A394" s="145" t="s">
        <v>17</v>
      </c>
      <c r="B394" s="141" t="s">
        <v>988</v>
      </c>
      <c r="C394" s="141" t="s">
        <v>1022</v>
      </c>
      <c r="D394" s="146" t="s">
        <v>637</v>
      </c>
      <c r="E394" s="141" t="s">
        <v>16</v>
      </c>
      <c r="F394" s="160">
        <f t="shared" si="87"/>
        <v>2124.5</v>
      </c>
      <c r="G394" s="160">
        <f t="shared" si="87"/>
        <v>1720.02784</v>
      </c>
      <c r="H394" s="131">
        <f t="shared" si="84"/>
        <v>80.961536361496826</v>
      </c>
    </row>
    <row r="395" spans="1:8" s="82" customFormat="1" ht="18.75" hidden="1" x14ac:dyDescent="0.2">
      <c r="A395" s="3" t="s">
        <v>548</v>
      </c>
      <c r="B395" s="2" t="s">
        <v>992</v>
      </c>
      <c r="C395" s="2" t="s">
        <v>1022</v>
      </c>
      <c r="D395" s="4" t="s">
        <v>637</v>
      </c>
      <c r="E395" s="2" t="s">
        <v>67</v>
      </c>
      <c r="F395" s="62">
        <f>1005+1000+662-300+100+730-6+167-545-80-56-563+10+0.5</f>
        <v>2124.5</v>
      </c>
      <c r="G395" s="62">
        <v>1720.02784</v>
      </c>
      <c r="H395" s="97">
        <f t="shared" si="84"/>
        <v>80.961536361496826</v>
      </c>
    </row>
    <row r="396" spans="1:8" ht="18.75" x14ac:dyDescent="0.2">
      <c r="A396" s="145" t="s">
        <v>13</v>
      </c>
      <c r="B396" s="141" t="s">
        <v>992</v>
      </c>
      <c r="C396" s="141" t="s">
        <v>1022</v>
      </c>
      <c r="D396" s="146" t="s">
        <v>637</v>
      </c>
      <c r="E396" s="141" t="s">
        <v>14</v>
      </c>
      <c r="F396" s="160">
        <f>F397</f>
        <v>302</v>
      </c>
      <c r="G396" s="160">
        <f t="shared" ref="G396" si="88">G397</f>
        <v>297.20776000000001</v>
      </c>
      <c r="H396" s="131">
        <f t="shared" si="84"/>
        <v>98.413165562913903</v>
      </c>
    </row>
    <row r="397" spans="1:8" ht="18.75" x14ac:dyDescent="0.2">
      <c r="A397" s="145" t="s">
        <v>32</v>
      </c>
      <c r="B397" s="141" t="s">
        <v>992</v>
      </c>
      <c r="C397" s="141" t="s">
        <v>1022</v>
      </c>
      <c r="D397" s="146" t="s">
        <v>637</v>
      </c>
      <c r="E397" s="141" t="s">
        <v>31</v>
      </c>
      <c r="F397" s="160">
        <f>F398+F399</f>
        <v>302</v>
      </c>
      <c r="G397" s="160">
        <f t="shared" ref="G397" si="89">G398+G399</f>
        <v>297.20776000000001</v>
      </c>
      <c r="H397" s="131">
        <f t="shared" si="84"/>
        <v>98.413165562913903</v>
      </c>
    </row>
    <row r="398" spans="1:8" s="82" customFormat="1" ht="18.75" hidden="1" x14ac:dyDescent="0.2">
      <c r="A398" s="3" t="s">
        <v>70</v>
      </c>
      <c r="B398" s="2" t="s">
        <v>992</v>
      </c>
      <c r="C398" s="2" t="s">
        <v>1022</v>
      </c>
      <c r="D398" s="4" t="s">
        <v>637</v>
      </c>
      <c r="E398" s="2" t="s">
        <v>71</v>
      </c>
      <c r="F398" s="62">
        <f>230+40</f>
        <v>270</v>
      </c>
      <c r="G398" s="62">
        <v>266.303</v>
      </c>
      <c r="H398" s="97">
        <f t="shared" si="84"/>
        <v>98.630740740740748</v>
      </c>
    </row>
    <row r="399" spans="1:8" s="82" customFormat="1" ht="18.75" hidden="1" x14ac:dyDescent="0.2">
      <c r="A399" s="3" t="s">
        <v>308</v>
      </c>
      <c r="B399" s="2" t="s">
        <v>992</v>
      </c>
      <c r="C399" s="2" t="s">
        <v>1022</v>
      </c>
      <c r="D399" s="4" t="s">
        <v>637</v>
      </c>
      <c r="E399" s="2" t="s">
        <v>307</v>
      </c>
      <c r="F399" s="62">
        <v>32</v>
      </c>
      <c r="G399" s="62">
        <v>30.90476</v>
      </c>
      <c r="H399" s="97">
        <f t="shared" si="84"/>
        <v>96.577375000000004</v>
      </c>
    </row>
    <row r="400" spans="1:8" ht="18.75" x14ac:dyDescent="0.2">
      <c r="A400" s="140" t="s">
        <v>641</v>
      </c>
      <c r="B400" s="148" t="s">
        <v>988</v>
      </c>
      <c r="C400" s="148" t="s">
        <v>1022</v>
      </c>
      <c r="D400" s="142" t="s">
        <v>642</v>
      </c>
      <c r="E400" s="148"/>
      <c r="F400" s="144">
        <f t="shared" ref="F400:G402" si="90">F401</f>
        <v>486.5</v>
      </c>
      <c r="G400" s="144">
        <f t="shared" si="90"/>
        <v>486.42</v>
      </c>
      <c r="H400" s="131">
        <f t="shared" si="84"/>
        <v>99.983556012332997</v>
      </c>
    </row>
    <row r="401" spans="1:8" ht="18.75" x14ac:dyDescent="0.2">
      <c r="A401" s="145" t="s">
        <v>871</v>
      </c>
      <c r="B401" s="141" t="s">
        <v>992</v>
      </c>
      <c r="C401" s="141" t="s">
        <v>1022</v>
      </c>
      <c r="D401" s="141" t="s">
        <v>642</v>
      </c>
      <c r="E401" s="141" t="s">
        <v>15</v>
      </c>
      <c r="F401" s="160">
        <f t="shared" si="90"/>
        <v>486.5</v>
      </c>
      <c r="G401" s="160">
        <f t="shared" si="90"/>
        <v>486.42</v>
      </c>
      <c r="H401" s="131">
        <f t="shared" si="84"/>
        <v>99.983556012332997</v>
      </c>
    </row>
    <row r="402" spans="1:8" ht="31.5" x14ac:dyDescent="0.2">
      <c r="A402" s="145" t="s">
        <v>17</v>
      </c>
      <c r="B402" s="141" t="s">
        <v>988</v>
      </c>
      <c r="C402" s="141" t="s">
        <v>1022</v>
      </c>
      <c r="D402" s="141" t="s">
        <v>642</v>
      </c>
      <c r="E402" s="141" t="s">
        <v>16</v>
      </c>
      <c r="F402" s="160">
        <f>F403</f>
        <v>486.5</v>
      </c>
      <c r="G402" s="160">
        <f t="shared" si="90"/>
        <v>486.42</v>
      </c>
      <c r="H402" s="131">
        <f t="shared" si="84"/>
        <v>99.983556012332997</v>
      </c>
    </row>
    <row r="403" spans="1:8" s="82" customFormat="1" ht="18.75" hidden="1" x14ac:dyDescent="0.2">
      <c r="A403" s="3" t="s">
        <v>548</v>
      </c>
      <c r="B403" s="2" t="s">
        <v>992</v>
      </c>
      <c r="C403" s="2" t="s">
        <v>1022</v>
      </c>
      <c r="D403" s="2" t="s">
        <v>642</v>
      </c>
      <c r="E403" s="2" t="s">
        <v>67</v>
      </c>
      <c r="F403" s="62">
        <f>4100-2000-500-1114+0.5</f>
        <v>486.5</v>
      </c>
      <c r="G403" s="62">
        <v>486.42</v>
      </c>
      <c r="H403" s="97">
        <f t="shared" si="84"/>
        <v>99.983556012332997</v>
      </c>
    </row>
    <row r="404" spans="1:8" ht="31.5" x14ac:dyDescent="0.2">
      <c r="A404" s="140" t="s">
        <v>643</v>
      </c>
      <c r="B404" s="148" t="s">
        <v>992</v>
      </c>
      <c r="C404" s="148" t="s">
        <v>1022</v>
      </c>
      <c r="D404" s="142" t="s">
        <v>644</v>
      </c>
      <c r="E404" s="148"/>
      <c r="F404" s="144">
        <f>F405</f>
        <v>16.5</v>
      </c>
      <c r="G404" s="144">
        <f t="shared" ref="G404:G410" si="91">G405</f>
        <v>16.45</v>
      </c>
      <c r="H404" s="131">
        <f t="shared" si="84"/>
        <v>99.696969696969688</v>
      </c>
    </row>
    <row r="405" spans="1:8" ht="18.75" x14ac:dyDescent="0.2">
      <c r="A405" s="145" t="s">
        <v>13</v>
      </c>
      <c r="B405" s="141" t="s">
        <v>992</v>
      </c>
      <c r="C405" s="141" t="s">
        <v>1022</v>
      </c>
      <c r="D405" s="141" t="s">
        <v>644</v>
      </c>
      <c r="E405" s="141">
        <v>800</v>
      </c>
      <c r="F405" s="160">
        <f>F406</f>
        <v>16.5</v>
      </c>
      <c r="G405" s="160">
        <f t="shared" si="91"/>
        <v>16.45</v>
      </c>
      <c r="H405" s="131">
        <f t="shared" si="84"/>
        <v>99.696969696969688</v>
      </c>
    </row>
    <row r="406" spans="1:8" ht="18.75" x14ac:dyDescent="0.2">
      <c r="A406" s="145" t="s">
        <v>32</v>
      </c>
      <c r="B406" s="141" t="s">
        <v>992</v>
      </c>
      <c r="C406" s="141" t="s">
        <v>1022</v>
      </c>
      <c r="D406" s="141" t="s">
        <v>644</v>
      </c>
      <c r="E406" s="141">
        <v>850</v>
      </c>
      <c r="F406" s="160">
        <f>F407</f>
        <v>16.5</v>
      </c>
      <c r="G406" s="160">
        <f t="shared" si="91"/>
        <v>16.45</v>
      </c>
      <c r="H406" s="131">
        <f t="shared" si="84"/>
        <v>99.696969696969688</v>
      </c>
    </row>
    <row r="407" spans="1:8" s="82" customFormat="1" ht="18.75" hidden="1" x14ac:dyDescent="0.2">
      <c r="A407" s="3" t="s">
        <v>70</v>
      </c>
      <c r="B407" s="2" t="s">
        <v>992</v>
      </c>
      <c r="C407" s="2" t="s">
        <v>1022</v>
      </c>
      <c r="D407" s="2" t="s">
        <v>644</v>
      </c>
      <c r="E407" s="2" t="s">
        <v>71</v>
      </c>
      <c r="F407" s="62">
        <f>10+40-34+0.5</f>
        <v>16.5</v>
      </c>
      <c r="G407" s="62">
        <v>16.45</v>
      </c>
      <c r="H407" s="97">
        <f t="shared" si="84"/>
        <v>99.696969696969688</v>
      </c>
    </row>
    <row r="408" spans="1:8" ht="18.75" x14ac:dyDescent="0.25">
      <c r="A408" s="180" t="s">
        <v>923</v>
      </c>
      <c r="B408" s="136" t="s">
        <v>992</v>
      </c>
      <c r="C408" s="136" t="s">
        <v>1022</v>
      </c>
      <c r="D408" s="136" t="s">
        <v>920</v>
      </c>
      <c r="E408" s="136"/>
      <c r="F408" s="138">
        <f>F409</f>
        <v>10833</v>
      </c>
      <c r="G408" s="138">
        <f t="shared" si="91"/>
        <v>10832.592119999999</v>
      </c>
      <c r="H408" s="131">
        <f t="shared" si="84"/>
        <v>99.996234837995019</v>
      </c>
    </row>
    <row r="409" spans="1:8" ht="18.75" x14ac:dyDescent="0.25">
      <c r="A409" s="181" t="s">
        <v>13</v>
      </c>
      <c r="B409" s="141" t="s">
        <v>992</v>
      </c>
      <c r="C409" s="141" t="s">
        <v>1022</v>
      </c>
      <c r="D409" s="141" t="s">
        <v>920</v>
      </c>
      <c r="E409" s="141" t="s">
        <v>14</v>
      </c>
      <c r="F409" s="160">
        <f>F410</f>
        <v>10833</v>
      </c>
      <c r="G409" s="160">
        <f t="shared" si="91"/>
        <v>10832.592119999999</v>
      </c>
      <c r="H409" s="131">
        <f t="shared" si="84"/>
        <v>99.996234837995019</v>
      </c>
    </row>
    <row r="410" spans="1:8" ht="47.25" x14ac:dyDescent="0.25">
      <c r="A410" s="165" t="s">
        <v>300</v>
      </c>
      <c r="B410" s="141" t="s">
        <v>992</v>
      </c>
      <c r="C410" s="141" t="s">
        <v>1022</v>
      </c>
      <c r="D410" s="141" t="s">
        <v>920</v>
      </c>
      <c r="E410" s="141" t="s">
        <v>12</v>
      </c>
      <c r="F410" s="160">
        <f>F411</f>
        <v>10833</v>
      </c>
      <c r="G410" s="160">
        <f t="shared" si="91"/>
        <v>10832.592119999999</v>
      </c>
      <c r="H410" s="131">
        <f t="shared" si="84"/>
        <v>99.996234837995019</v>
      </c>
    </row>
    <row r="411" spans="1:8" s="82" customFormat="1" ht="47.25" hidden="1" x14ac:dyDescent="0.25">
      <c r="A411" s="8" t="s">
        <v>655</v>
      </c>
      <c r="B411" s="2" t="s">
        <v>992</v>
      </c>
      <c r="C411" s="2" t="s">
        <v>1022</v>
      </c>
      <c r="D411" s="2" t="s">
        <v>920</v>
      </c>
      <c r="E411" s="2" t="s">
        <v>893</v>
      </c>
      <c r="F411" s="62">
        <f>5000+6000-167</f>
        <v>10833</v>
      </c>
      <c r="G411" s="62">
        <v>10832.592119999999</v>
      </c>
      <c r="H411" s="97">
        <f t="shared" si="84"/>
        <v>99.996234837995019</v>
      </c>
    </row>
    <row r="412" spans="1:8" ht="31.5" x14ac:dyDescent="0.2">
      <c r="A412" s="132" t="s">
        <v>645</v>
      </c>
      <c r="B412" s="133" t="s">
        <v>992</v>
      </c>
      <c r="C412" s="133" t="s">
        <v>1022</v>
      </c>
      <c r="D412" s="139" t="s">
        <v>646</v>
      </c>
      <c r="E412" s="136"/>
      <c r="F412" s="134">
        <f>F413</f>
        <v>25778</v>
      </c>
      <c r="G412" s="134">
        <f t="shared" ref="G412:G415" si="92">G413</f>
        <v>24533.319</v>
      </c>
      <c r="H412" s="131">
        <f t="shared" si="84"/>
        <v>95.171537745364262</v>
      </c>
    </row>
    <row r="413" spans="1:8" ht="18.75" x14ac:dyDescent="0.2">
      <c r="A413" s="182" t="s">
        <v>648</v>
      </c>
      <c r="B413" s="148" t="s">
        <v>992</v>
      </c>
      <c r="C413" s="148" t="s">
        <v>1022</v>
      </c>
      <c r="D413" s="148" t="s">
        <v>650</v>
      </c>
      <c r="E413" s="172"/>
      <c r="F413" s="183">
        <f>F414</f>
        <v>25778</v>
      </c>
      <c r="G413" s="183">
        <f t="shared" si="92"/>
        <v>24533.319</v>
      </c>
      <c r="H413" s="131">
        <f t="shared" si="84"/>
        <v>95.171537745364262</v>
      </c>
    </row>
    <row r="414" spans="1:8" ht="18.75" x14ac:dyDescent="0.2">
      <c r="A414" s="145" t="s">
        <v>13</v>
      </c>
      <c r="B414" s="141" t="s">
        <v>992</v>
      </c>
      <c r="C414" s="141" t="s">
        <v>1022</v>
      </c>
      <c r="D414" s="141" t="s">
        <v>650</v>
      </c>
      <c r="E414" s="141">
        <v>800</v>
      </c>
      <c r="F414" s="160">
        <f>F415</f>
        <v>25778</v>
      </c>
      <c r="G414" s="160">
        <f t="shared" si="92"/>
        <v>24533.319</v>
      </c>
      <c r="H414" s="131">
        <f t="shared" si="84"/>
        <v>95.171537745364262</v>
      </c>
    </row>
    <row r="415" spans="1:8" ht="18.75" x14ac:dyDescent="0.2">
      <c r="A415" s="145" t="s">
        <v>32</v>
      </c>
      <c r="B415" s="141" t="s">
        <v>992</v>
      </c>
      <c r="C415" s="141" t="s">
        <v>1022</v>
      </c>
      <c r="D415" s="141" t="s">
        <v>650</v>
      </c>
      <c r="E415" s="141">
        <v>850</v>
      </c>
      <c r="F415" s="160">
        <f>F416</f>
        <v>25778</v>
      </c>
      <c r="G415" s="160">
        <f t="shared" si="92"/>
        <v>24533.319</v>
      </c>
      <c r="H415" s="131">
        <f t="shared" si="84"/>
        <v>95.171537745364262</v>
      </c>
    </row>
    <row r="416" spans="1:8" s="82" customFormat="1" ht="18.75" hidden="1" x14ac:dyDescent="0.2">
      <c r="A416" s="3" t="s">
        <v>70</v>
      </c>
      <c r="B416" s="2" t="s">
        <v>992</v>
      </c>
      <c r="C416" s="2" t="s">
        <v>1022</v>
      </c>
      <c r="D416" s="2" t="s">
        <v>650</v>
      </c>
      <c r="E416" s="2" t="s">
        <v>71</v>
      </c>
      <c r="F416" s="62">
        <f>27778-2000</f>
        <v>25778</v>
      </c>
      <c r="G416" s="62">
        <v>24533.319</v>
      </c>
      <c r="H416" s="97">
        <f t="shared" si="84"/>
        <v>95.171537745364262</v>
      </c>
    </row>
    <row r="417" spans="1:8" ht="75" x14ac:dyDescent="0.2">
      <c r="A417" s="184" t="s">
        <v>891</v>
      </c>
      <c r="B417" s="133" t="s">
        <v>992</v>
      </c>
      <c r="C417" s="133" t="s">
        <v>1022</v>
      </c>
      <c r="D417" s="185" t="s">
        <v>209</v>
      </c>
      <c r="E417" s="133"/>
      <c r="F417" s="186">
        <f>F418</f>
        <v>42</v>
      </c>
      <c r="G417" s="186">
        <f t="shared" ref="G417:G421" si="93">G418</f>
        <v>0</v>
      </c>
      <c r="H417" s="131">
        <f t="shared" si="84"/>
        <v>0</v>
      </c>
    </row>
    <row r="418" spans="1:8" ht="63" x14ac:dyDescent="0.25">
      <c r="A418" s="163" t="s">
        <v>543</v>
      </c>
      <c r="B418" s="133" t="s">
        <v>992</v>
      </c>
      <c r="C418" s="133" t="s">
        <v>1022</v>
      </c>
      <c r="D418" s="139" t="s">
        <v>210</v>
      </c>
      <c r="E418" s="133"/>
      <c r="F418" s="186">
        <f>F419</f>
        <v>42</v>
      </c>
      <c r="G418" s="186">
        <f t="shared" si="93"/>
        <v>0</v>
      </c>
      <c r="H418" s="131">
        <f t="shared" si="84"/>
        <v>0</v>
      </c>
    </row>
    <row r="419" spans="1:8" ht="31.5" x14ac:dyDescent="0.25">
      <c r="A419" s="187" t="s">
        <v>982</v>
      </c>
      <c r="B419" s="141" t="s">
        <v>992</v>
      </c>
      <c r="C419" s="141" t="s">
        <v>1022</v>
      </c>
      <c r="D419" s="141" t="s">
        <v>981</v>
      </c>
      <c r="E419" s="141"/>
      <c r="F419" s="188">
        <f>F420</f>
        <v>42</v>
      </c>
      <c r="G419" s="188">
        <f t="shared" si="93"/>
        <v>0</v>
      </c>
      <c r="H419" s="131">
        <f t="shared" si="84"/>
        <v>0</v>
      </c>
    </row>
    <row r="420" spans="1:8" ht="31.5" x14ac:dyDescent="0.2">
      <c r="A420" s="145" t="s">
        <v>432</v>
      </c>
      <c r="B420" s="141" t="s">
        <v>992</v>
      </c>
      <c r="C420" s="141" t="s">
        <v>1022</v>
      </c>
      <c r="D420" s="141" t="s">
        <v>981</v>
      </c>
      <c r="E420" s="141" t="s">
        <v>15</v>
      </c>
      <c r="F420" s="188">
        <f>F421</f>
        <v>42</v>
      </c>
      <c r="G420" s="188">
        <f t="shared" si="93"/>
        <v>0</v>
      </c>
      <c r="H420" s="131">
        <f t="shared" si="84"/>
        <v>0</v>
      </c>
    </row>
    <row r="421" spans="1:8" ht="31.5" x14ac:dyDescent="0.25">
      <c r="A421" s="165" t="s">
        <v>17</v>
      </c>
      <c r="B421" s="141" t="s">
        <v>992</v>
      </c>
      <c r="C421" s="141" t="s">
        <v>1022</v>
      </c>
      <c r="D421" s="141" t="s">
        <v>981</v>
      </c>
      <c r="E421" s="141" t="s">
        <v>16</v>
      </c>
      <c r="F421" s="188">
        <f>F422</f>
        <v>42</v>
      </c>
      <c r="G421" s="188">
        <f t="shared" si="93"/>
        <v>0</v>
      </c>
      <c r="H421" s="131">
        <f t="shared" si="84"/>
        <v>0</v>
      </c>
    </row>
    <row r="422" spans="1:8" s="82" customFormat="1" ht="18.75" hidden="1" x14ac:dyDescent="0.2">
      <c r="A422" s="23" t="s">
        <v>548</v>
      </c>
      <c r="B422" s="2" t="s">
        <v>992</v>
      </c>
      <c r="C422" s="2" t="s">
        <v>1022</v>
      </c>
      <c r="D422" s="2" t="s">
        <v>981</v>
      </c>
      <c r="E422" s="2" t="s">
        <v>67</v>
      </c>
      <c r="F422" s="29">
        <v>42</v>
      </c>
      <c r="G422" s="68">
        <v>0</v>
      </c>
      <c r="H422" s="97">
        <f t="shared" si="84"/>
        <v>0</v>
      </c>
    </row>
    <row r="423" spans="1:8" ht="47.25" x14ac:dyDescent="0.2">
      <c r="A423" s="132" t="s">
        <v>1010</v>
      </c>
      <c r="B423" s="133" t="s">
        <v>988</v>
      </c>
      <c r="C423" s="133" t="s">
        <v>1022</v>
      </c>
      <c r="D423" s="133" t="s">
        <v>341</v>
      </c>
      <c r="E423" s="133"/>
      <c r="F423" s="134">
        <f>F424+F461</f>
        <v>311822.64</v>
      </c>
      <c r="G423" s="134">
        <f>G424+G461</f>
        <v>304700.88705999998</v>
      </c>
      <c r="H423" s="131">
        <f t="shared" si="84"/>
        <v>97.716088562395583</v>
      </c>
    </row>
    <row r="424" spans="1:8" ht="47.25" x14ac:dyDescent="0.2">
      <c r="A424" s="135" t="s">
        <v>538</v>
      </c>
      <c r="B424" s="136" t="s">
        <v>992</v>
      </c>
      <c r="C424" s="136" t="s">
        <v>1022</v>
      </c>
      <c r="D424" s="136" t="s">
        <v>423</v>
      </c>
      <c r="E424" s="136"/>
      <c r="F424" s="138">
        <f>F425+F455</f>
        <v>269326</v>
      </c>
      <c r="G424" s="138">
        <f>G425+G455</f>
        <v>266683.94948000001</v>
      </c>
      <c r="H424" s="131">
        <f t="shared" si="84"/>
        <v>99.019013938498333</v>
      </c>
    </row>
    <row r="425" spans="1:8" ht="47.25" x14ac:dyDescent="0.2">
      <c r="A425" s="132" t="s">
        <v>492</v>
      </c>
      <c r="B425" s="133" t="s">
        <v>988</v>
      </c>
      <c r="C425" s="133" t="s">
        <v>1022</v>
      </c>
      <c r="D425" s="139" t="s">
        <v>424</v>
      </c>
      <c r="E425" s="161"/>
      <c r="F425" s="134">
        <f>F426+F446+F450</f>
        <v>255374</v>
      </c>
      <c r="G425" s="134">
        <f>G426+G446+G450</f>
        <v>254844.34818999999</v>
      </c>
      <c r="H425" s="131">
        <f t="shared" si="84"/>
        <v>99.792597598032685</v>
      </c>
    </row>
    <row r="426" spans="1:8" ht="31.5" x14ac:dyDescent="0.2">
      <c r="A426" s="140" t="s">
        <v>47</v>
      </c>
      <c r="B426" s="148" t="s">
        <v>988</v>
      </c>
      <c r="C426" s="148" t="s">
        <v>1022</v>
      </c>
      <c r="D426" s="142" t="s">
        <v>425</v>
      </c>
      <c r="E426" s="148"/>
      <c r="F426" s="144">
        <f>F427+F432+F438</f>
        <v>249558</v>
      </c>
      <c r="G426" s="144">
        <f t="shared" ref="G426" si="94">G427+G432+G438</f>
        <v>249263.66819</v>
      </c>
      <c r="H426" s="131">
        <f t="shared" si="84"/>
        <v>99.882058755880394</v>
      </c>
    </row>
    <row r="427" spans="1:8" ht="18.75" x14ac:dyDescent="0.2">
      <c r="A427" s="140" t="s">
        <v>426</v>
      </c>
      <c r="B427" s="148" t="s">
        <v>992</v>
      </c>
      <c r="C427" s="148" t="s">
        <v>1022</v>
      </c>
      <c r="D427" s="142" t="s">
        <v>427</v>
      </c>
      <c r="E427" s="148"/>
      <c r="F427" s="144">
        <f t="shared" ref="F427:G428" si="95">F428</f>
        <v>33765</v>
      </c>
      <c r="G427" s="144">
        <f t="shared" si="95"/>
        <v>33765</v>
      </c>
      <c r="H427" s="131">
        <f t="shared" si="84"/>
        <v>100</v>
      </c>
    </row>
    <row r="428" spans="1:8" ht="47.25" x14ac:dyDescent="0.2">
      <c r="A428" s="150" t="s">
        <v>27</v>
      </c>
      <c r="B428" s="141" t="s">
        <v>988</v>
      </c>
      <c r="C428" s="141" t="s">
        <v>1022</v>
      </c>
      <c r="D428" s="141" t="s">
        <v>427</v>
      </c>
      <c r="E428" s="141" t="s">
        <v>28</v>
      </c>
      <c r="F428" s="147">
        <f t="shared" si="95"/>
        <v>33765</v>
      </c>
      <c r="G428" s="147">
        <f t="shared" si="95"/>
        <v>33765</v>
      </c>
      <c r="H428" s="131">
        <f t="shared" si="84"/>
        <v>100</v>
      </c>
    </row>
    <row r="429" spans="1:8" ht="18.75" x14ac:dyDescent="0.2">
      <c r="A429" s="150" t="s">
        <v>30</v>
      </c>
      <c r="B429" s="141" t="s">
        <v>988</v>
      </c>
      <c r="C429" s="141" t="s">
        <v>1022</v>
      </c>
      <c r="D429" s="141" t="s">
        <v>427</v>
      </c>
      <c r="E429" s="141" t="s">
        <v>29</v>
      </c>
      <c r="F429" s="147">
        <f>F430+F431</f>
        <v>33765</v>
      </c>
      <c r="G429" s="147">
        <f>G430+G431</f>
        <v>33765</v>
      </c>
      <c r="H429" s="131">
        <f t="shared" si="84"/>
        <v>100</v>
      </c>
    </row>
    <row r="430" spans="1:8" s="82" customFormat="1" ht="18.75" hidden="1" x14ac:dyDescent="0.2">
      <c r="A430" s="3" t="s">
        <v>223</v>
      </c>
      <c r="B430" s="2" t="s">
        <v>988</v>
      </c>
      <c r="C430" s="2" t="s">
        <v>1022</v>
      </c>
      <c r="D430" s="2" t="s">
        <v>427</v>
      </c>
      <c r="E430" s="2" t="s">
        <v>77</v>
      </c>
      <c r="F430" s="10">
        <f>17661+7013+750+664</f>
        <v>26088</v>
      </c>
      <c r="G430" s="10">
        <v>26088</v>
      </c>
      <c r="H430" s="97">
        <f t="shared" si="84"/>
        <v>100</v>
      </c>
    </row>
    <row r="431" spans="1:8" s="82" customFormat="1" ht="31.5" hidden="1" x14ac:dyDescent="0.2">
      <c r="A431" s="3" t="s">
        <v>137</v>
      </c>
      <c r="B431" s="2" t="s">
        <v>988</v>
      </c>
      <c r="C431" s="2" t="s">
        <v>1022</v>
      </c>
      <c r="D431" s="2" t="s">
        <v>427</v>
      </c>
      <c r="E431" s="2" t="s">
        <v>136</v>
      </c>
      <c r="F431" s="10">
        <f>5334+2117+226</f>
        <v>7677</v>
      </c>
      <c r="G431" s="10">
        <v>7677</v>
      </c>
      <c r="H431" s="97">
        <f t="shared" si="84"/>
        <v>100</v>
      </c>
    </row>
    <row r="432" spans="1:8" ht="18.75" x14ac:dyDescent="0.2">
      <c r="A432" s="140" t="s">
        <v>428</v>
      </c>
      <c r="B432" s="148" t="s">
        <v>988</v>
      </c>
      <c r="C432" s="148" t="s">
        <v>1022</v>
      </c>
      <c r="D432" s="142" t="s">
        <v>429</v>
      </c>
      <c r="E432" s="148"/>
      <c r="F432" s="144">
        <f t="shared" ref="F432:G433" si="96">F433</f>
        <v>175761</v>
      </c>
      <c r="G432" s="144">
        <f t="shared" si="96"/>
        <v>175756.62</v>
      </c>
      <c r="H432" s="131">
        <f t="shared" si="84"/>
        <v>99.997507979585905</v>
      </c>
    </row>
    <row r="433" spans="1:8" ht="47.25" x14ac:dyDescent="0.2">
      <c r="A433" s="150" t="s">
        <v>27</v>
      </c>
      <c r="B433" s="141" t="s">
        <v>988</v>
      </c>
      <c r="C433" s="141" t="s">
        <v>1022</v>
      </c>
      <c r="D433" s="141" t="s">
        <v>429</v>
      </c>
      <c r="E433" s="141" t="s">
        <v>28</v>
      </c>
      <c r="F433" s="147">
        <f t="shared" si="96"/>
        <v>175761</v>
      </c>
      <c r="G433" s="147">
        <f t="shared" si="96"/>
        <v>175756.62</v>
      </c>
      <c r="H433" s="131">
        <f t="shared" si="84"/>
        <v>99.997507979585905</v>
      </c>
    </row>
    <row r="434" spans="1:8" ht="18.75" x14ac:dyDescent="0.2">
      <c r="A434" s="150" t="s">
        <v>30</v>
      </c>
      <c r="B434" s="141" t="s">
        <v>988</v>
      </c>
      <c r="C434" s="141" t="s">
        <v>1022</v>
      </c>
      <c r="D434" s="141" t="s">
        <v>429</v>
      </c>
      <c r="E434" s="141" t="s">
        <v>29</v>
      </c>
      <c r="F434" s="147">
        <f>F435+F436+F437</f>
        <v>175761</v>
      </c>
      <c r="G434" s="147">
        <f>G435+G436+G437</f>
        <v>175756.62</v>
      </c>
      <c r="H434" s="131">
        <f t="shared" si="84"/>
        <v>99.997507979585905</v>
      </c>
    </row>
    <row r="435" spans="1:8" s="82" customFormat="1" ht="18.75" hidden="1" x14ac:dyDescent="0.2">
      <c r="A435" s="3" t="s">
        <v>223</v>
      </c>
      <c r="B435" s="2" t="s">
        <v>988</v>
      </c>
      <c r="C435" s="2" t="s">
        <v>1022</v>
      </c>
      <c r="D435" s="2" t="s">
        <v>429</v>
      </c>
      <c r="E435" s="2" t="s">
        <v>77</v>
      </c>
      <c r="F435" s="10">
        <f>108091+25694+1005+98+113</f>
        <v>135001</v>
      </c>
      <c r="G435" s="10">
        <v>135001</v>
      </c>
      <c r="H435" s="97">
        <f t="shared" si="84"/>
        <v>100</v>
      </c>
    </row>
    <row r="436" spans="1:8" s="82" customFormat="1" ht="31.5" hidden="1" x14ac:dyDescent="0.2">
      <c r="A436" s="3" t="s">
        <v>79</v>
      </c>
      <c r="B436" s="2" t="s">
        <v>988</v>
      </c>
      <c r="C436" s="2" t="s">
        <v>1022</v>
      </c>
      <c r="D436" s="2" t="s">
        <v>429</v>
      </c>
      <c r="E436" s="13" t="s">
        <v>78</v>
      </c>
      <c r="F436" s="10">
        <f>246-128-82-12</f>
        <v>24</v>
      </c>
      <c r="G436" s="10">
        <v>19.62</v>
      </c>
      <c r="H436" s="97">
        <f t="shared" si="84"/>
        <v>81.75</v>
      </c>
    </row>
    <row r="437" spans="1:8" s="82" customFormat="1" ht="31.5" hidden="1" x14ac:dyDescent="0.2">
      <c r="A437" s="3" t="s">
        <v>137</v>
      </c>
      <c r="B437" s="2" t="s">
        <v>988</v>
      </c>
      <c r="C437" s="2" t="s">
        <v>1022</v>
      </c>
      <c r="D437" s="2" t="s">
        <v>429</v>
      </c>
      <c r="E437" s="13" t="s">
        <v>136</v>
      </c>
      <c r="F437" s="10">
        <f>32643+7760+303+30</f>
        <v>40736</v>
      </c>
      <c r="G437" s="10">
        <v>40736</v>
      </c>
      <c r="H437" s="97">
        <f t="shared" si="84"/>
        <v>100</v>
      </c>
    </row>
    <row r="438" spans="1:8" ht="18.75" x14ac:dyDescent="0.2">
      <c r="A438" s="140" t="s">
        <v>430</v>
      </c>
      <c r="B438" s="148" t="s">
        <v>988</v>
      </c>
      <c r="C438" s="148" t="s">
        <v>1022</v>
      </c>
      <c r="D438" s="142" t="s">
        <v>431</v>
      </c>
      <c r="E438" s="148"/>
      <c r="F438" s="144">
        <f>F439+F443</f>
        <v>40032</v>
      </c>
      <c r="G438" s="144">
        <f>G439+G443</f>
        <v>39742.048190000001</v>
      </c>
      <c r="H438" s="131">
        <f t="shared" si="84"/>
        <v>99.275699915067946</v>
      </c>
    </row>
    <row r="439" spans="1:8" ht="18.75" x14ac:dyDescent="0.2">
      <c r="A439" s="145" t="s">
        <v>871</v>
      </c>
      <c r="B439" s="141" t="s">
        <v>988</v>
      </c>
      <c r="C439" s="141" t="s">
        <v>1022</v>
      </c>
      <c r="D439" s="141" t="s">
        <v>431</v>
      </c>
      <c r="E439" s="141" t="s">
        <v>15</v>
      </c>
      <c r="F439" s="147">
        <f>F440</f>
        <v>38084</v>
      </c>
      <c r="G439" s="147">
        <f>G440</f>
        <v>37794.048190000001</v>
      </c>
      <c r="H439" s="131">
        <f t="shared" si="84"/>
        <v>99.23865190106082</v>
      </c>
    </row>
    <row r="440" spans="1:8" ht="31.5" x14ac:dyDescent="0.2">
      <c r="A440" s="145" t="s">
        <v>17</v>
      </c>
      <c r="B440" s="141" t="s">
        <v>988</v>
      </c>
      <c r="C440" s="141" t="s">
        <v>1022</v>
      </c>
      <c r="D440" s="141" t="s">
        <v>431</v>
      </c>
      <c r="E440" s="141" t="s">
        <v>16</v>
      </c>
      <c r="F440" s="147">
        <f>F441+F442</f>
        <v>38084</v>
      </c>
      <c r="G440" s="147">
        <f>G441+G442</f>
        <v>37794.048190000001</v>
      </c>
      <c r="H440" s="131">
        <f t="shared" ref="H440:H495" si="97">G440/F440*100</f>
        <v>99.23865190106082</v>
      </c>
    </row>
    <row r="441" spans="1:8" s="82" customFormat="1" ht="31.5" hidden="1" x14ac:dyDescent="0.2">
      <c r="A441" s="3" t="s">
        <v>389</v>
      </c>
      <c r="B441" s="2" t="s">
        <v>988</v>
      </c>
      <c r="C441" s="2" t="s">
        <v>1022</v>
      </c>
      <c r="D441" s="2" t="s">
        <v>431</v>
      </c>
      <c r="E441" s="13" t="s">
        <v>368</v>
      </c>
      <c r="F441" s="10">
        <f>11394+221</f>
        <v>11615</v>
      </c>
      <c r="G441" s="10">
        <v>11582.809859999999</v>
      </c>
      <c r="H441" s="97">
        <f t="shared" si="97"/>
        <v>99.722857167455871</v>
      </c>
    </row>
    <row r="442" spans="1:8" s="82" customFormat="1" ht="18.75" hidden="1" x14ac:dyDescent="0.2">
      <c r="A442" s="3" t="s">
        <v>548</v>
      </c>
      <c r="B442" s="2" t="s">
        <v>988</v>
      </c>
      <c r="C442" s="2" t="s">
        <v>1022</v>
      </c>
      <c r="D442" s="2" t="s">
        <v>431</v>
      </c>
      <c r="E442" s="13" t="s">
        <v>67</v>
      </c>
      <c r="F442" s="10">
        <f>19019+7915+35+82-232-350</f>
        <v>26469</v>
      </c>
      <c r="G442" s="10">
        <v>26211.23833</v>
      </c>
      <c r="H442" s="97">
        <f t="shared" si="97"/>
        <v>99.026175261626818</v>
      </c>
    </row>
    <row r="443" spans="1:8" ht="18.75" x14ac:dyDescent="0.2">
      <c r="A443" s="145" t="s">
        <v>13</v>
      </c>
      <c r="B443" s="141" t="s">
        <v>988</v>
      </c>
      <c r="C443" s="141" t="s">
        <v>1022</v>
      </c>
      <c r="D443" s="141" t="s">
        <v>431</v>
      </c>
      <c r="E443" s="171" t="s">
        <v>14</v>
      </c>
      <c r="F443" s="147">
        <f t="shared" ref="F443:G444" si="98">F444</f>
        <v>1948</v>
      </c>
      <c r="G443" s="147">
        <f t="shared" si="98"/>
        <v>1948</v>
      </c>
      <c r="H443" s="131">
        <f t="shared" si="97"/>
        <v>100</v>
      </c>
    </row>
    <row r="444" spans="1:8" ht="18.75" x14ac:dyDescent="0.2">
      <c r="A444" s="150" t="s">
        <v>32</v>
      </c>
      <c r="B444" s="141" t="s">
        <v>988</v>
      </c>
      <c r="C444" s="141" t="s">
        <v>1022</v>
      </c>
      <c r="D444" s="141" t="s">
        <v>431</v>
      </c>
      <c r="E444" s="171" t="s">
        <v>31</v>
      </c>
      <c r="F444" s="147">
        <f t="shared" si="98"/>
        <v>1948</v>
      </c>
      <c r="G444" s="147">
        <f t="shared" si="98"/>
        <v>1948</v>
      </c>
      <c r="H444" s="131">
        <f t="shared" si="97"/>
        <v>100</v>
      </c>
    </row>
    <row r="445" spans="1:8" s="82" customFormat="1" ht="18.75" hidden="1" x14ac:dyDescent="0.2">
      <c r="A445" s="3" t="s">
        <v>68</v>
      </c>
      <c r="B445" s="2" t="s">
        <v>988</v>
      </c>
      <c r="C445" s="2" t="s">
        <v>1022</v>
      </c>
      <c r="D445" s="2" t="s">
        <v>431</v>
      </c>
      <c r="E445" s="13" t="s">
        <v>69</v>
      </c>
      <c r="F445" s="10">
        <v>1948</v>
      </c>
      <c r="G445" s="10">
        <v>1948</v>
      </c>
      <c r="H445" s="97">
        <f t="shared" si="97"/>
        <v>100</v>
      </c>
    </row>
    <row r="446" spans="1:8" ht="78.75" x14ac:dyDescent="0.25">
      <c r="A446" s="189" t="s">
        <v>1147</v>
      </c>
      <c r="B446" s="148" t="s">
        <v>992</v>
      </c>
      <c r="C446" s="148" t="s">
        <v>1022</v>
      </c>
      <c r="D446" s="148" t="s">
        <v>1149</v>
      </c>
      <c r="E446" s="190"/>
      <c r="F446" s="156">
        <f t="shared" ref="F446:G448" si="99">F447</f>
        <v>1193</v>
      </c>
      <c r="G446" s="156">
        <f t="shared" si="99"/>
        <v>957.68</v>
      </c>
      <c r="H446" s="131">
        <f t="shared" si="97"/>
        <v>80.274937133277447</v>
      </c>
    </row>
    <row r="447" spans="1:8" ht="18.75" x14ac:dyDescent="0.2">
      <c r="A447" s="145" t="s">
        <v>871</v>
      </c>
      <c r="B447" s="141" t="s">
        <v>988</v>
      </c>
      <c r="C447" s="141" t="s">
        <v>1022</v>
      </c>
      <c r="D447" s="141" t="s">
        <v>1149</v>
      </c>
      <c r="E447" s="141" t="s">
        <v>15</v>
      </c>
      <c r="F447" s="158">
        <f t="shared" si="99"/>
        <v>1193</v>
      </c>
      <c r="G447" s="158">
        <f t="shared" si="99"/>
        <v>957.68</v>
      </c>
      <c r="H447" s="131">
        <f t="shared" si="97"/>
        <v>80.274937133277447</v>
      </c>
    </row>
    <row r="448" spans="1:8" ht="31.5" x14ac:dyDescent="0.2">
      <c r="A448" s="169" t="s">
        <v>17</v>
      </c>
      <c r="B448" s="141" t="s">
        <v>988</v>
      </c>
      <c r="C448" s="141" t="s">
        <v>1022</v>
      </c>
      <c r="D448" s="141" t="s">
        <v>1149</v>
      </c>
      <c r="E448" s="141" t="s">
        <v>16</v>
      </c>
      <c r="F448" s="158">
        <f t="shared" si="99"/>
        <v>1193</v>
      </c>
      <c r="G448" s="158">
        <f t="shared" si="99"/>
        <v>957.68</v>
      </c>
      <c r="H448" s="131">
        <f t="shared" si="97"/>
        <v>80.274937133277447</v>
      </c>
    </row>
    <row r="449" spans="1:8" s="82" customFormat="1" ht="18.75" hidden="1" x14ac:dyDescent="0.2">
      <c r="A449" s="23" t="s">
        <v>548</v>
      </c>
      <c r="B449" s="2" t="s">
        <v>988</v>
      </c>
      <c r="C449" s="2" t="s">
        <v>1022</v>
      </c>
      <c r="D449" s="2" t="s">
        <v>1149</v>
      </c>
      <c r="E449" s="13" t="s">
        <v>67</v>
      </c>
      <c r="F449" s="14">
        <f>1181+12</f>
        <v>1193</v>
      </c>
      <c r="G449" s="10">
        <v>957.68</v>
      </c>
      <c r="H449" s="97">
        <f t="shared" si="97"/>
        <v>80.274937133277447</v>
      </c>
    </row>
    <row r="450" spans="1:8" ht="31.5" x14ac:dyDescent="0.2">
      <c r="A450" s="140" t="s">
        <v>1148</v>
      </c>
      <c r="B450" s="148" t="s">
        <v>992</v>
      </c>
      <c r="C450" s="148" t="s">
        <v>1022</v>
      </c>
      <c r="D450" s="191" t="s">
        <v>1150</v>
      </c>
      <c r="E450" s="148"/>
      <c r="F450" s="144">
        <f>F451</f>
        <v>4623</v>
      </c>
      <c r="G450" s="144">
        <f>G451</f>
        <v>4623</v>
      </c>
      <c r="H450" s="131">
        <f t="shared" si="97"/>
        <v>100</v>
      </c>
    </row>
    <row r="451" spans="1:8" ht="47.25" x14ac:dyDescent="0.2">
      <c r="A451" s="145" t="s">
        <v>27</v>
      </c>
      <c r="B451" s="141" t="s">
        <v>988</v>
      </c>
      <c r="C451" s="141" t="s">
        <v>1022</v>
      </c>
      <c r="D451" s="192" t="s">
        <v>1150</v>
      </c>
      <c r="E451" s="141" t="s">
        <v>28</v>
      </c>
      <c r="F451" s="147">
        <f>F452</f>
        <v>4623</v>
      </c>
      <c r="G451" s="147">
        <f>G452</f>
        <v>4623</v>
      </c>
      <c r="H451" s="131">
        <f t="shared" si="97"/>
        <v>100</v>
      </c>
    </row>
    <row r="452" spans="1:8" ht="18.75" x14ac:dyDescent="0.2">
      <c r="A452" s="145" t="s">
        <v>30</v>
      </c>
      <c r="B452" s="141" t="s">
        <v>988</v>
      </c>
      <c r="C452" s="141" t="s">
        <v>1022</v>
      </c>
      <c r="D452" s="192" t="s">
        <v>1150</v>
      </c>
      <c r="E452" s="141" t="s">
        <v>29</v>
      </c>
      <c r="F452" s="147">
        <f>F453+F454</f>
        <v>4623</v>
      </c>
      <c r="G452" s="147">
        <f>G453+G454</f>
        <v>4623</v>
      </c>
      <c r="H452" s="131">
        <f t="shared" si="97"/>
        <v>100</v>
      </c>
    </row>
    <row r="453" spans="1:8" s="82" customFormat="1" ht="18.75" hidden="1" x14ac:dyDescent="0.2">
      <c r="A453" s="3" t="s">
        <v>223</v>
      </c>
      <c r="B453" s="2" t="s">
        <v>988</v>
      </c>
      <c r="C453" s="2" t="s">
        <v>1022</v>
      </c>
      <c r="D453" s="92" t="s">
        <v>1150</v>
      </c>
      <c r="E453" s="2" t="s">
        <v>77</v>
      </c>
      <c r="F453" s="10">
        <v>3550.6912400000001</v>
      </c>
      <c r="G453" s="10">
        <v>3550.6912400000001</v>
      </c>
      <c r="H453" s="97">
        <f t="shared" si="97"/>
        <v>100</v>
      </c>
    </row>
    <row r="454" spans="1:8" s="82" customFormat="1" ht="31.5" hidden="1" x14ac:dyDescent="0.2">
      <c r="A454" s="3" t="s">
        <v>137</v>
      </c>
      <c r="B454" s="2" t="s">
        <v>988</v>
      </c>
      <c r="C454" s="2" t="s">
        <v>1022</v>
      </c>
      <c r="D454" s="92" t="s">
        <v>1150</v>
      </c>
      <c r="E454" s="2" t="s">
        <v>136</v>
      </c>
      <c r="F454" s="10">
        <v>1072.3087599999999</v>
      </c>
      <c r="G454" s="10">
        <v>1072.3087599999999</v>
      </c>
      <c r="H454" s="97">
        <f t="shared" si="97"/>
        <v>100</v>
      </c>
    </row>
    <row r="455" spans="1:8" ht="63" x14ac:dyDescent="0.2">
      <c r="A455" s="132" t="s">
        <v>560</v>
      </c>
      <c r="B455" s="133" t="s">
        <v>988</v>
      </c>
      <c r="C455" s="133" t="s">
        <v>1022</v>
      </c>
      <c r="D455" s="133" t="s">
        <v>561</v>
      </c>
      <c r="E455" s="161"/>
      <c r="F455" s="134">
        <f t="shared" ref="F455:G457" si="100">F456</f>
        <v>13952</v>
      </c>
      <c r="G455" s="134">
        <f t="shared" si="100"/>
        <v>11839.601289999999</v>
      </c>
      <c r="H455" s="131">
        <f t="shared" si="97"/>
        <v>84.859527594610086</v>
      </c>
    </row>
    <row r="456" spans="1:8" ht="63" x14ac:dyDescent="0.2">
      <c r="A456" s="193" t="s">
        <v>907</v>
      </c>
      <c r="B456" s="194" t="s">
        <v>992</v>
      </c>
      <c r="C456" s="194" t="s">
        <v>1022</v>
      </c>
      <c r="D456" s="195" t="s">
        <v>908</v>
      </c>
      <c r="E456" s="196"/>
      <c r="F456" s="197">
        <f t="shared" si="100"/>
        <v>13952</v>
      </c>
      <c r="G456" s="197">
        <f t="shared" si="100"/>
        <v>11839.601289999999</v>
      </c>
      <c r="H456" s="131">
        <f t="shared" si="97"/>
        <v>84.859527594610086</v>
      </c>
    </row>
    <row r="457" spans="1:8" ht="18.75" x14ac:dyDescent="0.2">
      <c r="A457" s="145" t="s">
        <v>871</v>
      </c>
      <c r="B457" s="195" t="s">
        <v>988</v>
      </c>
      <c r="C457" s="195" t="s">
        <v>1022</v>
      </c>
      <c r="D457" s="195" t="s">
        <v>908</v>
      </c>
      <c r="E457" s="195" t="s">
        <v>15</v>
      </c>
      <c r="F457" s="198">
        <f t="shared" si="100"/>
        <v>13952</v>
      </c>
      <c r="G457" s="198">
        <f t="shared" si="100"/>
        <v>11839.601289999999</v>
      </c>
      <c r="H457" s="131">
        <f t="shared" si="97"/>
        <v>84.859527594610086</v>
      </c>
    </row>
    <row r="458" spans="1:8" ht="31.5" x14ac:dyDescent="0.2">
      <c r="A458" s="199" t="s">
        <v>17</v>
      </c>
      <c r="B458" s="195" t="s">
        <v>988</v>
      </c>
      <c r="C458" s="195" t="s">
        <v>1022</v>
      </c>
      <c r="D458" s="195" t="s">
        <v>908</v>
      </c>
      <c r="E458" s="195" t="s">
        <v>16</v>
      </c>
      <c r="F458" s="198">
        <f>F459+F460</f>
        <v>13952</v>
      </c>
      <c r="G458" s="198">
        <f>G459+G460</f>
        <v>11839.601289999999</v>
      </c>
      <c r="H458" s="131">
        <f t="shared" si="97"/>
        <v>84.859527594610086</v>
      </c>
    </row>
    <row r="459" spans="1:8" s="82" customFormat="1" ht="31.5" hidden="1" x14ac:dyDescent="0.2">
      <c r="A459" s="57" t="s">
        <v>367</v>
      </c>
      <c r="B459" s="55" t="s">
        <v>988</v>
      </c>
      <c r="C459" s="55" t="s">
        <v>1022</v>
      </c>
      <c r="D459" s="55" t="s">
        <v>908</v>
      </c>
      <c r="E459" s="58" t="s">
        <v>368</v>
      </c>
      <c r="F459" s="54">
        <f>4407+10489-325-1972</f>
        <v>12599</v>
      </c>
      <c r="G459" s="10">
        <v>10488.516079999999</v>
      </c>
      <c r="H459" s="97">
        <f t="shared" si="97"/>
        <v>83.248798158584009</v>
      </c>
    </row>
    <row r="460" spans="1:8" s="82" customFormat="1" ht="18.75" hidden="1" x14ac:dyDescent="0.25">
      <c r="A460" s="8" t="s">
        <v>548</v>
      </c>
      <c r="B460" s="55" t="s">
        <v>988</v>
      </c>
      <c r="C460" s="55" t="s">
        <v>1022</v>
      </c>
      <c r="D460" s="55" t="s">
        <v>908</v>
      </c>
      <c r="E460" s="58" t="s">
        <v>67</v>
      </c>
      <c r="F460" s="54">
        <f>1352+325-324</f>
        <v>1353</v>
      </c>
      <c r="G460" s="10">
        <v>1351.08521</v>
      </c>
      <c r="H460" s="97">
        <f t="shared" si="97"/>
        <v>99.858478196600146</v>
      </c>
    </row>
    <row r="461" spans="1:8" ht="63" x14ac:dyDescent="0.2">
      <c r="A461" s="135" t="s">
        <v>537</v>
      </c>
      <c r="B461" s="136" t="s">
        <v>992</v>
      </c>
      <c r="C461" s="136">
        <v>13</v>
      </c>
      <c r="D461" s="137" t="s">
        <v>420</v>
      </c>
      <c r="E461" s="136"/>
      <c r="F461" s="138">
        <f>F462+F467</f>
        <v>42496.639999999999</v>
      </c>
      <c r="G461" s="138">
        <f>G462+G467</f>
        <v>38016.937579999998</v>
      </c>
      <c r="H461" s="131">
        <f t="shared" si="97"/>
        <v>89.458690334106407</v>
      </c>
    </row>
    <row r="462" spans="1:8" ht="31.5" x14ac:dyDescent="0.2">
      <c r="A462" s="132" t="s">
        <v>171</v>
      </c>
      <c r="B462" s="133" t="s">
        <v>992</v>
      </c>
      <c r="C462" s="133">
        <v>13</v>
      </c>
      <c r="D462" s="139" t="s">
        <v>421</v>
      </c>
      <c r="E462" s="133"/>
      <c r="F462" s="134">
        <f>F463</f>
        <v>38146</v>
      </c>
      <c r="G462" s="134">
        <f t="shared" ref="G462" si="101">G463</f>
        <v>33975.460579999999</v>
      </c>
      <c r="H462" s="131">
        <f t="shared" si="97"/>
        <v>89.066902375085206</v>
      </c>
    </row>
    <row r="463" spans="1:8" ht="18.75" x14ac:dyDescent="0.2">
      <c r="A463" s="140" t="s">
        <v>123</v>
      </c>
      <c r="B463" s="141" t="s">
        <v>992</v>
      </c>
      <c r="C463" s="141">
        <v>13</v>
      </c>
      <c r="D463" s="148" t="s">
        <v>422</v>
      </c>
      <c r="E463" s="149"/>
      <c r="F463" s="144">
        <f t="shared" ref="F463:G465" si="102">F464</f>
        <v>38146</v>
      </c>
      <c r="G463" s="144">
        <f t="shared" si="102"/>
        <v>33975.460579999999</v>
      </c>
      <c r="H463" s="131">
        <f t="shared" si="97"/>
        <v>89.066902375085206</v>
      </c>
    </row>
    <row r="464" spans="1:8" ht="18.75" x14ac:dyDescent="0.2">
      <c r="A464" s="145" t="s">
        <v>871</v>
      </c>
      <c r="B464" s="141" t="s">
        <v>992</v>
      </c>
      <c r="C464" s="141">
        <v>13</v>
      </c>
      <c r="D464" s="141" t="s">
        <v>422</v>
      </c>
      <c r="E464" s="141" t="s">
        <v>15</v>
      </c>
      <c r="F464" s="147">
        <f t="shared" si="102"/>
        <v>38146</v>
      </c>
      <c r="G464" s="147">
        <f t="shared" si="102"/>
        <v>33975.460579999999</v>
      </c>
      <c r="H464" s="131">
        <f t="shared" si="97"/>
        <v>89.066902375085206</v>
      </c>
    </row>
    <row r="465" spans="1:8" ht="31.5" x14ac:dyDescent="0.2">
      <c r="A465" s="145" t="s">
        <v>17</v>
      </c>
      <c r="B465" s="141" t="s">
        <v>992</v>
      </c>
      <c r="C465" s="141">
        <v>13</v>
      </c>
      <c r="D465" s="141" t="s">
        <v>422</v>
      </c>
      <c r="E465" s="141" t="s">
        <v>16</v>
      </c>
      <c r="F465" s="147">
        <f t="shared" si="102"/>
        <v>38146</v>
      </c>
      <c r="G465" s="147">
        <f t="shared" si="102"/>
        <v>33975.460579999999</v>
      </c>
      <c r="H465" s="131">
        <f t="shared" si="97"/>
        <v>89.066902375085206</v>
      </c>
    </row>
    <row r="466" spans="1:8" s="82" customFormat="1" ht="31.5" hidden="1" x14ac:dyDescent="0.2">
      <c r="A466" s="28" t="s">
        <v>389</v>
      </c>
      <c r="B466" s="2" t="s">
        <v>992</v>
      </c>
      <c r="C466" s="2">
        <v>13</v>
      </c>
      <c r="D466" s="2" t="s">
        <v>422</v>
      </c>
      <c r="E466" s="33" t="s">
        <v>368</v>
      </c>
      <c r="F466" s="10">
        <f>27290+650+2764+220+1200+100+6000-100-428+450</f>
        <v>38146</v>
      </c>
      <c r="G466" s="10">
        <v>33975.460579999999</v>
      </c>
      <c r="H466" s="97">
        <f t="shared" si="97"/>
        <v>89.066902375085206</v>
      </c>
    </row>
    <row r="467" spans="1:8" ht="18.75" x14ac:dyDescent="0.2">
      <c r="A467" s="154" t="s">
        <v>789</v>
      </c>
      <c r="B467" s="148" t="s">
        <v>992</v>
      </c>
      <c r="C467" s="148">
        <v>13</v>
      </c>
      <c r="D467" s="148" t="s">
        <v>791</v>
      </c>
      <c r="E467" s="170"/>
      <c r="F467" s="200">
        <f t="shared" ref="F467:G470" si="103">F468</f>
        <v>4350.6400000000003</v>
      </c>
      <c r="G467" s="200">
        <f t="shared" si="103"/>
        <v>4041.4769999999999</v>
      </c>
      <c r="H467" s="131">
        <f t="shared" si="97"/>
        <v>92.893850100215118</v>
      </c>
    </row>
    <row r="468" spans="1:8" ht="31.5" x14ac:dyDescent="0.2">
      <c r="A468" s="140" t="s">
        <v>790</v>
      </c>
      <c r="B468" s="148" t="s">
        <v>992</v>
      </c>
      <c r="C468" s="148">
        <v>13</v>
      </c>
      <c r="D468" s="148" t="s">
        <v>792</v>
      </c>
      <c r="E468" s="149"/>
      <c r="F468" s="197">
        <f t="shared" si="103"/>
        <v>4350.6400000000003</v>
      </c>
      <c r="G468" s="197">
        <f t="shared" si="103"/>
        <v>4041.4769999999999</v>
      </c>
      <c r="H468" s="131">
        <f t="shared" si="97"/>
        <v>92.893850100215118</v>
      </c>
    </row>
    <row r="469" spans="1:8" ht="18.75" x14ac:dyDescent="0.2">
      <c r="A469" s="145" t="s">
        <v>871</v>
      </c>
      <c r="B469" s="141" t="s">
        <v>992</v>
      </c>
      <c r="C469" s="141">
        <v>13</v>
      </c>
      <c r="D469" s="141" t="s">
        <v>792</v>
      </c>
      <c r="E469" s="141" t="s">
        <v>15</v>
      </c>
      <c r="F469" s="198">
        <f t="shared" si="103"/>
        <v>4350.6400000000003</v>
      </c>
      <c r="G469" s="198">
        <f t="shared" si="103"/>
        <v>4041.4769999999999</v>
      </c>
      <c r="H469" s="131">
        <f t="shared" si="97"/>
        <v>92.893850100215118</v>
      </c>
    </row>
    <row r="470" spans="1:8" ht="31.5" x14ac:dyDescent="0.2">
      <c r="A470" s="145" t="s">
        <v>17</v>
      </c>
      <c r="B470" s="141" t="s">
        <v>992</v>
      </c>
      <c r="C470" s="141">
        <v>13</v>
      </c>
      <c r="D470" s="141" t="s">
        <v>792</v>
      </c>
      <c r="E470" s="141" t="s">
        <v>16</v>
      </c>
      <c r="F470" s="198">
        <f t="shared" si="103"/>
        <v>4350.6400000000003</v>
      </c>
      <c r="G470" s="198">
        <f t="shared" si="103"/>
        <v>4041.4769999999999</v>
      </c>
      <c r="H470" s="131">
        <f t="shared" si="97"/>
        <v>92.893850100215118</v>
      </c>
    </row>
    <row r="471" spans="1:8" s="82" customFormat="1" ht="31.5" hidden="1" x14ac:dyDescent="0.2">
      <c r="A471" s="28" t="s">
        <v>389</v>
      </c>
      <c r="B471" s="2" t="s">
        <v>992</v>
      </c>
      <c r="C471" s="2">
        <v>13</v>
      </c>
      <c r="D471" s="2" t="s">
        <v>792</v>
      </c>
      <c r="E471" s="33" t="s">
        <v>368</v>
      </c>
      <c r="F471" s="54">
        <f>4850-499.36</f>
        <v>4350.6400000000003</v>
      </c>
      <c r="G471" s="54">
        <v>4041.4769999999999</v>
      </c>
      <c r="H471" s="97">
        <f t="shared" si="97"/>
        <v>92.893850100215118</v>
      </c>
    </row>
    <row r="472" spans="1:8" ht="18.75" x14ac:dyDescent="0.2">
      <c r="A472" s="132" t="s">
        <v>1011</v>
      </c>
      <c r="B472" s="133" t="s">
        <v>992</v>
      </c>
      <c r="C472" s="133" t="s">
        <v>1022</v>
      </c>
      <c r="D472" s="133" t="s">
        <v>161</v>
      </c>
      <c r="E472" s="133"/>
      <c r="F472" s="134">
        <f>F473+F482+F486</f>
        <v>8857.2610000000004</v>
      </c>
      <c r="G472" s="134">
        <f t="shared" ref="G472" si="104">G473+G482+G486</f>
        <v>4877.0953399999999</v>
      </c>
      <c r="H472" s="131">
        <f t="shared" si="97"/>
        <v>55.063245172520034</v>
      </c>
    </row>
    <row r="473" spans="1:8" ht="18.75" x14ac:dyDescent="0.2">
      <c r="A473" s="145" t="s">
        <v>454</v>
      </c>
      <c r="B473" s="141" t="s">
        <v>992</v>
      </c>
      <c r="C473" s="141" t="s">
        <v>1022</v>
      </c>
      <c r="D473" s="141" t="s">
        <v>176</v>
      </c>
      <c r="E473" s="171"/>
      <c r="F473" s="147">
        <f t="shared" ref="F473:G473" si="105">F474</f>
        <v>5160.4610000000011</v>
      </c>
      <c r="G473" s="147">
        <f t="shared" si="105"/>
        <v>4692.0953399999999</v>
      </c>
      <c r="H473" s="131">
        <f t="shared" si="97"/>
        <v>90.923956987563685</v>
      </c>
    </row>
    <row r="474" spans="1:8" ht="18.75" x14ac:dyDescent="0.2">
      <c r="A474" s="140" t="s">
        <v>455</v>
      </c>
      <c r="B474" s="148" t="s">
        <v>992</v>
      </c>
      <c r="C474" s="148" t="s">
        <v>1022</v>
      </c>
      <c r="D474" s="148" t="s">
        <v>463</v>
      </c>
      <c r="E474" s="148"/>
      <c r="F474" s="144">
        <f>F479+F475</f>
        <v>5160.4610000000011</v>
      </c>
      <c r="G474" s="144">
        <f>G479+G475</f>
        <v>4692.0953399999999</v>
      </c>
      <c r="H474" s="131">
        <f t="shared" si="97"/>
        <v>90.923956987563685</v>
      </c>
    </row>
    <row r="475" spans="1:8" ht="18.75" x14ac:dyDescent="0.2">
      <c r="A475" s="145" t="s">
        <v>871</v>
      </c>
      <c r="B475" s="141" t="s">
        <v>992</v>
      </c>
      <c r="C475" s="141" t="s">
        <v>1022</v>
      </c>
      <c r="D475" s="141" t="s">
        <v>463</v>
      </c>
      <c r="E475" s="141" t="s">
        <v>15</v>
      </c>
      <c r="F475" s="147">
        <f>F476</f>
        <v>1193.5</v>
      </c>
      <c r="G475" s="147">
        <f>G476</f>
        <v>1191.3775900000001</v>
      </c>
      <c r="H475" s="131">
        <f t="shared" si="97"/>
        <v>99.822169250104736</v>
      </c>
    </row>
    <row r="476" spans="1:8" ht="31.5" x14ac:dyDescent="0.2">
      <c r="A476" s="145" t="s">
        <v>17</v>
      </c>
      <c r="B476" s="141" t="s">
        <v>992</v>
      </c>
      <c r="C476" s="141" t="s">
        <v>1022</v>
      </c>
      <c r="D476" s="141" t="s">
        <v>463</v>
      </c>
      <c r="E476" s="141" t="s">
        <v>16</v>
      </c>
      <c r="F476" s="147">
        <f>F478+F477</f>
        <v>1193.5</v>
      </c>
      <c r="G476" s="147">
        <f>G478+G477</f>
        <v>1191.3775900000001</v>
      </c>
      <c r="H476" s="131">
        <f t="shared" si="97"/>
        <v>99.822169250104736</v>
      </c>
    </row>
    <row r="477" spans="1:8" s="82" customFormat="1" ht="18.75" hidden="1" x14ac:dyDescent="0.2">
      <c r="A477" s="3"/>
      <c r="B477" s="2" t="s">
        <v>992</v>
      </c>
      <c r="C477" s="2" t="s">
        <v>1022</v>
      </c>
      <c r="D477" s="2" t="s">
        <v>463</v>
      </c>
      <c r="E477" s="2" t="s">
        <v>368</v>
      </c>
      <c r="F477" s="10">
        <v>13.5</v>
      </c>
      <c r="G477" s="10">
        <v>13.37111</v>
      </c>
      <c r="H477" s="97">
        <f t="shared" si="97"/>
        <v>99.045259259259254</v>
      </c>
    </row>
    <row r="478" spans="1:8" s="82" customFormat="1" ht="18.75" hidden="1" x14ac:dyDescent="0.2">
      <c r="A478" s="3" t="s">
        <v>548</v>
      </c>
      <c r="B478" s="2" t="s">
        <v>992</v>
      </c>
      <c r="C478" s="2" t="s">
        <v>1022</v>
      </c>
      <c r="D478" s="2" t="s">
        <v>463</v>
      </c>
      <c r="E478" s="2" t="s">
        <v>67</v>
      </c>
      <c r="F478" s="10">
        <f>286+687+207</f>
        <v>1180</v>
      </c>
      <c r="G478" s="10">
        <v>1178.00648</v>
      </c>
      <c r="H478" s="97">
        <f t="shared" si="97"/>
        <v>99.831057627118653</v>
      </c>
    </row>
    <row r="479" spans="1:8" ht="18.75" x14ac:dyDescent="0.2">
      <c r="A479" s="145" t="s">
        <v>13</v>
      </c>
      <c r="B479" s="141" t="s">
        <v>992</v>
      </c>
      <c r="C479" s="141" t="s">
        <v>1022</v>
      </c>
      <c r="D479" s="141" t="s">
        <v>463</v>
      </c>
      <c r="E479" s="141" t="s">
        <v>14</v>
      </c>
      <c r="F479" s="147">
        <f t="shared" ref="F479:G480" si="106">F480</f>
        <v>3966.9610000000011</v>
      </c>
      <c r="G479" s="147">
        <f t="shared" si="106"/>
        <v>3500.7177499999998</v>
      </c>
      <c r="H479" s="131">
        <f t="shared" si="97"/>
        <v>88.24684059157623</v>
      </c>
    </row>
    <row r="480" spans="1:8" ht="18.75" x14ac:dyDescent="0.2">
      <c r="A480" s="145" t="s">
        <v>456</v>
      </c>
      <c r="B480" s="141" t="s">
        <v>992</v>
      </c>
      <c r="C480" s="141" t="s">
        <v>1022</v>
      </c>
      <c r="D480" s="141" t="s">
        <v>463</v>
      </c>
      <c r="E480" s="141" t="s">
        <v>457</v>
      </c>
      <c r="F480" s="147">
        <f t="shared" si="106"/>
        <v>3966.9610000000011</v>
      </c>
      <c r="G480" s="147">
        <f t="shared" si="106"/>
        <v>3500.7177499999998</v>
      </c>
      <c r="H480" s="131">
        <f t="shared" si="97"/>
        <v>88.24684059157623</v>
      </c>
    </row>
    <row r="481" spans="1:11" s="82" customFormat="1" ht="18.75" hidden="1" x14ac:dyDescent="0.2">
      <c r="A481" s="3" t="s">
        <v>1007</v>
      </c>
      <c r="B481" s="2" t="s">
        <v>992</v>
      </c>
      <c r="C481" s="2" t="s">
        <v>1022</v>
      </c>
      <c r="D481" s="2" t="s">
        <v>463</v>
      </c>
      <c r="E481" s="2" t="s">
        <v>458</v>
      </c>
      <c r="F481" s="62">
        <f>25604-11-466-4165.5-384-3+36-89-14012.3-14.5+0.261-100-5151+398+150-11+1018+178+2+88+900</f>
        <v>3966.9610000000011</v>
      </c>
      <c r="G481" s="62">
        <v>3500.7177499999998</v>
      </c>
      <c r="H481" s="97">
        <f t="shared" si="97"/>
        <v>88.24684059157623</v>
      </c>
    </row>
    <row r="482" spans="1:11" ht="18.75" x14ac:dyDescent="0.2">
      <c r="A482" s="140" t="s">
        <v>924</v>
      </c>
      <c r="B482" s="148" t="s">
        <v>992</v>
      </c>
      <c r="C482" s="148" t="s">
        <v>1022</v>
      </c>
      <c r="D482" s="148" t="s">
        <v>921</v>
      </c>
      <c r="E482" s="148"/>
      <c r="F482" s="144">
        <f>F483</f>
        <v>3661</v>
      </c>
      <c r="G482" s="144">
        <f t="shared" ref="G482" si="107">G483</f>
        <v>185</v>
      </c>
      <c r="H482" s="131">
        <f t="shared" si="97"/>
        <v>5.0532641354821086</v>
      </c>
    </row>
    <row r="483" spans="1:11" ht="18.75" x14ac:dyDescent="0.2">
      <c r="A483" s="145" t="s">
        <v>13</v>
      </c>
      <c r="B483" s="141" t="s">
        <v>992</v>
      </c>
      <c r="C483" s="141" t="s">
        <v>1022</v>
      </c>
      <c r="D483" s="141" t="s">
        <v>921</v>
      </c>
      <c r="E483" s="141" t="s">
        <v>14</v>
      </c>
      <c r="F483" s="147">
        <f t="shared" ref="F483:G484" si="108">F484</f>
        <v>3661</v>
      </c>
      <c r="G483" s="147">
        <f t="shared" si="108"/>
        <v>185</v>
      </c>
      <c r="H483" s="131">
        <f t="shared" si="97"/>
        <v>5.0532641354821086</v>
      </c>
    </row>
    <row r="484" spans="1:11" ht="18.75" x14ac:dyDescent="0.2">
      <c r="A484" s="145" t="s">
        <v>32</v>
      </c>
      <c r="B484" s="141" t="s">
        <v>992</v>
      </c>
      <c r="C484" s="141" t="s">
        <v>1022</v>
      </c>
      <c r="D484" s="141" t="s">
        <v>921</v>
      </c>
      <c r="E484" s="141" t="s">
        <v>31</v>
      </c>
      <c r="F484" s="147">
        <f t="shared" si="108"/>
        <v>3661</v>
      </c>
      <c r="G484" s="147">
        <f t="shared" si="108"/>
        <v>185</v>
      </c>
      <c r="H484" s="131">
        <f t="shared" si="97"/>
        <v>5.0532641354821086</v>
      </c>
    </row>
    <row r="485" spans="1:11" s="82" customFormat="1" ht="18.75" hidden="1" x14ac:dyDescent="0.2">
      <c r="A485" s="3" t="s">
        <v>308</v>
      </c>
      <c r="B485" s="2" t="s">
        <v>992</v>
      </c>
      <c r="C485" s="2" t="s">
        <v>1022</v>
      </c>
      <c r="D485" s="2" t="s">
        <v>921</v>
      </c>
      <c r="E485" s="2" t="s">
        <v>307</v>
      </c>
      <c r="F485" s="62">
        <f>105+50+30+75+10+3391</f>
        <v>3661</v>
      </c>
      <c r="G485" s="62">
        <v>185</v>
      </c>
      <c r="H485" s="97">
        <f t="shared" si="97"/>
        <v>5.0532641354821086</v>
      </c>
    </row>
    <row r="486" spans="1:11" ht="31.5" x14ac:dyDescent="0.2">
      <c r="A486" s="157" t="s">
        <v>481</v>
      </c>
      <c r="B486" s="141" t="s">
        <v>992</v>
      </c>
      <c r="C486" s="141" t="s">
        <v>1022</v>
      </c>
      <c r="D486" s="148" t="s">
        <v>480</v>
      </c>
      <c r="E486" s="172"/>
      <c r="F486" s="144">
        <f t="shared" ref="F486:G488" si="109">F487</f>
        <v>35.799999999999997</v>
      </c>
      <c r="G486" s="144">
        <f t="shared" si="109"/>
        <v>0</v>
      </c>
      <c r="H486" s="131">
        <f t="shared" si="97"/>
        <v>0</v>
      </c>
    </row>
    <row r="487" spans="1:11" ht="18.75" x14ac:dyDescent="0.2">
      <c r="A487" s="145" t="s">
        <v>871</v>
      </c>
      <c r="B487" s="141" t="s">
        <v>992</v>
      </c>
      <c r="C487" s="141" t="s">
        <v>1022</v>
      </c>
      <c r="D487" s="141" t="s">
        <v>480</v>
      </c>
      <c r="E487" s="141" t="s">
        <v>15</v>
      </c>
      <c r="F487" s="147">
        <f t="shared" si="109"/>
        <v>35.799999999999997</v>
      </c>
      <c r="G487" s="147">
        <f t="shared" si="109"/>
        <v>0</v>
      </c>
      <c r="H487" s="131">
        <f t="shared" si="97"/>
        <v>0</v>
      </c>
    </row>
    <row r="488" spans="1:11" ht="31.5" x14ac:dyDescent="0.2">
      <c r="A488" s="145" t="s">
        <v>17</v>
      </c>
      <c r="B488" s="141" t="s">
        <v>992</v>
      </c>
      <c r="C488" s="141" t="s">
        <v>1022</v>
      </c>
      <c r="D488" s="141" t="s">
        <v>480</v>
      </c>
      <c r="E488" s="141" t="s">
        <v>16</v>
      </c>
      <c r="F488" s="147">
        <f t="shared" si="109"/>
        <v>35.799999999999997</v>
      </c>
      <c r="G488" s="147">
        <f t="shared" si="109"/>
        <v>0</v>
      </c>
      <c r="H488" s="131">
        <f t="shared" si="97"/>
        <v>0</v>
      </c>
    </row>
    <row r="489" spans="1:11" s="82" customFormat="1" ht="18.75" hidden="1" x14ac:dyDescent="0.2">
      <c r="A489" s="3" t="s">
        <v>548</v>
      </c>
      <c r="B489" s="2" t="s">
        <v>992</v>
      </c>
      <c r="C489" s="2" t="s">
        <v>1022</v>
      </c>
      <c r="D489" s="2" t="s">
        <v>480</v>
      </c>
      <c r="E489" s="2" t="s">
        <v>67</v>
      </c>
      <c r="F489" s="10">
        <f>36.8-1</f>
        <v>35.799999999999997</v>
      </c>
      <c r="G489" s="10">
        <v>0</v>
      </c>
      <c r="H489" s="97">
        <f t="shared" si="97"/>
        <v>0</v>
      </c>
    </row>
    <row r="490" spans="1:11" ht="18.75" x14ac:dyDescent="0.2">
      <c r="A490" s="128" t="s">
        <v>1030</v>
      </c>
      <c r="B490" s="129" t="s">
        <v>994</v>
      </c>
      <c r="C490" s="129"/>
      <c r="D490" s="129"/>
      <c r="E490" s="129"/>
      <c r="F490" s="130">
        <f>F491+F545</f>
        <v>290768.3</v>
      </c>
      <c r="G490" s="130">
        <f>G491+G545</f>
        <v>286733.69017000002</v>
      </c>
      <c r="H490" s="131">
        <f t="shared" si="97"/>
        <v>98.612431331063263</v>
      </c>
      <c r="K490" s="96">
        <f>286733.69017-G490</f>
        <v>0</v>
      </c>
    </row>
    <row r="491" spans="1:11" ht="31.5" x14ac:dyDescent="0.2">
      <c r="A491" s="132" t="s">
        <v>1031</v>
      </c>
      <c r="B491" s="133" t="s">
        <v>994</v>
      </c>
      <c r="C491" s="133" t="s">
        <v>1032</v>
      </c>
      <c r="D491" s="133"/>
      <c r="E491" s="133"/>
      <c r="F491" s="134">
        <f>F492</f>
        <v>144428.5</v>
      </c>
      <c r="G491" s="201">
        <f>G492</f>
        <v>140620.89916</v>
      </c>
      <c r="H491" s="131">
        <f t="shared" si="97"/>
        <v>97.363677639801011</v>
      </c>
    </row>
    <row r="492" spans="1:11" ht="31.5" x14ac:dyDescent="0.2">
      <c r="A492" s="132" t="s">
        <v>1017</v>
      </c>
      <c r="B492" s="133" t="s">
        <v>994</v>
      </c>
      <c r="C492" s="133" t="s">
        <v>1032</v>
      </c>
      <c r="D492" s="133" t="s">
        <v>268</v>
      </c>
      <c r="E492" s="133"/>
      <c r="F492" s="134">
        <f>F493+F532+F539</f>
        <v>144428.5</v>
      </c>
      <c r="G492" s="201">
        <f>G493+G532+G539</f>
        <v>140620.89916</v>
      </c>
      <c r="H492" s="131">
        <f t="shared" si="97"/>
        <v>97.363677639801011</v>
      </c>
    </row>
    <row r="493" spans="1:11" ht="31.5" x14ac:dyDescent="0.2">
      <c r="A493" s="135" t="s">
        <v>382</v>
      </c>
      <c r="B493" s="136" t="s">
        <v>994</v>
      </c>
      <c r="C493" s="136" t="s">
        <v>1032</v>
      </c>
      <c r="D493" s="137" t="s">
        <v>281</v>
      </c>
      <c r="E493" s="173"/>
      <c r="F493" s="138">
        <f>F494+F499+F513+F527</f>
        <v>116926.5</v>
      </c>
      <c r="G493" s="202">
        <f>G494+G499+G513+G527</f>
        <v>116004.34787999999</v>
      </c>
      <c r="H493" s="131">
        <f t="shared" si="97"/>
        <v>99.211340354838285</v>
      </c>
    </row>
    <row r="494" spans="1:11" ht="47.25" x14ac:dyDescent="0.2">
      <c r="A494" s="154" t="s">
        <v>383</v>
      </c>
      <c r="B494" s="133" t="s">
        <v>994</v>
      </c>
      <c r="C494" s="133" t="s">
        <v>1032</v>
      </c>
      <c r="D494" s="133" t="s">
        <v>282</v>
      </c>
      <c r="E494" s="133"/>
      <c r="F494" s="134">
        <f>F495</f>
        <v>1998</v>
      </c>
      <c r="G494" s="134">
        <f>G495</f>
        <v>1988.29664</v>
      </c>
      <c r="H494" s="131">
        <f t="shared" si="97"/>
        <v>99.514346346346343</v>
      </c>
    </row>
    <row r="495" spans="1:11" ht="18.75" x14ac:dyDescent="0.2">
      <c r="A495" s="155" t="s">
        <v>125</v>
      </c>
      <c r="B495" s="148" t="s">
        <v>994</v>
      </c>
      <c r="C495" s="148" t="s">
        <v>1032</v>
      </c>
      <c r="D495" s="148" t="s">
        <v>283</v>
      </c>
      <c r="E495" s="148"/>
      <c r="F495" s="144">
        <f>F496</f>
        <v>1998</v>
      </c>
      <c r="G495" s="144">
        <f t="shared" ref="G495" si="110">G496</f>
        <v>1988.29664</v>
      </c>
      <c r="H495" s="131">
        <f t="shared" si="97"/>
        <v>99.514346346346343</v>
      </c>
    </row>
    <row r="496" spans="1:11" ht="18.75" x14ac:dyDescent="0.2">
      <c r="A496" s="157" t="s">
        <v>871</v>
      </c>
      <c r="B496" s="141" t="s">
        <v>994</v>
      </c>
      <c r="C496" s="141" t="s">
        <v>1032</v>
      </c>
      <c r="D496" s="141" t="s">
        <v>283</v>
      </c>
      <c r="E496" s="141">
        <v>200</v>
      </c>
      <c r="F496" s="147">
        <f t="shared" ref="F496:G497" si="111">F497</f>
        <v>1998</v>
      </c>
      <c r="G496" s="147">
        <f t="shared" si="111"/>
        <v>1988.29664</v>
      </c>
      <c r="H496" s="131">
        <f t="shared" ref="H496:H554" si="112">G496/F496*100</f>
        <v>99.514346346346343</v>
      </c>
    </row>
    <row r="497" spans="1:8" ht="31.5" x14ac:dyDescent="0.2">
      <c r="A497" s="157" t="s">
        <v>17</v>
      </c>
      <c r="B497" s="141" t="s">
        <v>994</v>
      </c>
      <c r="C497" s="141" t="s">
        <v>1032</v>
      </c>
      <c r="D497" s="141" t="s">
        <v>283</v>
      </c>
      <c r="E497" s="141">
        <v>240</v>
      </c>
      <c r="F497" s="147">
        <f t="shared" si="111"/>
        <v>1998</v>
      </c>
      <c r="G497" s="147">
        <f t="shared" si="111"/>
        <v>1988.29664</v>
      </c>
      <c r="H497" s="131">
        <f t="shared" si="112"/>
        <v>99.514346346346343</v>
      </c>
    </row>
    <row r="498" spans="1:8" s="82" customFormat="1" ht="18.75" hidden="1" x14ac:dyDescent="0.2">
      <c r="A498" s="3" t="s">
        <v>548</v>
      </c>
      <c r="B498" s="2" t="s">
        <v>994</v>
      </c>
      <c r="C498" s="2" t="s">
        <v>1032</v>
      </c>
      <c r="D498" s="2" t="s">
        <v>283</v>
      </c>
      <c r="E498" s="2" t="s">
        <v>67</v>
      </c>
      <c r="F498" s="10">
        <f>2870-328-242-302</f>
        <v>1998</v>
      </c>
      <c r="G498" s="10">
        <v>1988.29664</v>
      </c>
      <c r="H498" s="97">
        <f t="shared" si="112"/>
        <v>99.514346346346343</v>
      </c>
    </row>
    <row r="499" spans="1:8" ht="31.5" x14ac:dyDescent="0.2">
      <c r="A499" s="154" t="s">
        <v>384</v>
      </c>
      <c r="B499" s="133" t="s">
        <v>994</v>
      </c>
      <c r="C499" s="133" t="s">
        <v>1032</v>
      </c>
      <c r="D499" s="133" t="s">
        <v>285</v>
      </c>
      <c r="E499" s="133"/>
      <c r="F499" s="134">
        <f>F500+F504+F509</f>
        <v>31645.5</v>
      </c>
      <c r="G499" s="134">
        <f t="shared" ref="G499" si="113">G500+G504+G509</f>
        <v>31385.402689999999</v>
      </c>
      <c r="H499" s="131">
        <f t="shared" si="112"/>
        <v>99.178090692199518</v>
      </c>
    </row>
    <row r="500" spans="1:8" ht="18.75" x14ac:dyDescent="0.2">
      <c r="A500" s="155" t="s">
        <v>304</v>
      </c>
      <c r="B500" s="148" t="s">
        <v>994</v>
      </c>
      <c r="C500" s="148" t="s">
        <v>1032</v>
      </c>
      <c r="D500" s="148" t="s">
        <v>298</v>
      </c>
      <c r="E500" s="148"/>
      <c r="F500" s="144">
        <f t="shared" ref="F500:G502" si="114">F501</f>
        <v>678</v>
      </c>
      <c r="G500" s="144">
        <f t="shared" si="114"/>
        <v>677.9</v>
      </c>
      <c r="H500" s="131">
        <f t="shared" si="112"/>
        <v>99.985250737463133</v>
      </c>
    </row>
    <row r="501" spans="1:8" ht="18.75" x14ac:dyDescent="0.2">
      <c r="A501" s="157" t="s">
        <v>871</v>
      </c>
      <c r="B501" s="141" t="s">
        <v>994</v>
      </c>
      <c r="C501" s="141" t="s">
        <v>1032</v>
      </c>
      <c r="D501" s="141" t="s">
        <v>298</v>
      </c>
      <c r="E501" s="141" t="s">
        <v>15</v>
      </c>
      <c r="F501" s="147">
        <f t="shared" si="114"/>
        <v>678</v>
      </c>
      <c r="G501" s="147">
        <f t="shared" si="114"/>
        <v>677.9</v>
      </c>
      <c r="H501" s="131">
        <f t="shared" si="112"/>
        <v>99.985250737463133</v>
      </c>
    </row>
    <row r="502" spans="1:8" ht="31.5" x14ac:dyDescent="0.2">
      <c r="A502" s="157" t="s">
        <v>17</v>
      </c>
      <c r="B502" s="141" t="s">
        <v>994</v>
      </c>
      <c r="C502" s="141" t="s">
        <v>1032</v>
      </c>
      <c r="D502" s="141" t="s">
        <v>298</v>
      </c>
      <c r="E502" s="141" t="s">
        <v>16</v>
      </c>
      <c r="F502" s="147">
        <f t="shared" si="114"/>
        <v>678</v>
      </c>
      <c r="G502" s="147">
        <f t="shared" si="114"/>
        <v>677.9</v>
      </c>
      <c r="H502" s="131">
        <f t="shared" si="112"/>
        <v>99.985250737463133</v>
      </c>
    </row>
    <row r="503" spans="1:8" s="82" customFormat="1" ht="18.75" hidden="1" x14ac:dyDescent="0.2">
      <c r="A503" s="3" t="s">
        <v>548</v>
      </c>
      <c r="B503" s="2" t="s">
        <v>994</v>
      </c>
      <c r="C503" s="2" t="s">
        <v>1032</v>
      </c>
      <c r="D503" s="2" t="s">
        <v>298</v>
      </c>
      <c r="E503" s="2" t="s">
        <v>67</v>
      </c>
      <c r="F503" s="10">
        <f>700-22</f>
        <v>678</v>
      </c>
      <c r="G503" s="10">
        <v>677.9</v>
      </c>
      <c r="H503" s="97">
        <f t="shared" si="112"/>
        <v>99.985250737463133</v>
      </c>
    </row>
    <row r="504" spans="1:8" ht="18.75" x14ac:dyDescent="0.2">
      <c r="A504" s="155" t="s">
        <v>385</v>
      </c>
      <c r="B504" s="148" t="s">
        <v>994</v>
      </c>
      <c r="C504" s="148" t="s">
        <v>1032</v>
      </c>
      <c r="D504" s="148" t="s">
        <v>386</v>
      </c>
      <c r="E504" s="148"/>
      <c r="F504" s="144">
        <f t="shared" ref="F504:G505" si="115">F505</f>
        <v>7967.5</v>
      </c>
      <c r="G504" s="144">
        <f>G505</f>
        <v>7966.8068000000003</v>
      </c>
      <c r="H504" s="131">
        <f t="shared" si="112"/>
        <v>99.991299654847822</v>
      </c>
    </row>
    <row r="505" spans="1:8" ht="18.75" x14ac:dyDescent="0.2">
      <c r="A505" s="157" t="s">
        <v>871</v>
      </c>
      <c r="B505" s="141" t="s">
        <v>994</v>
      </c>
      <c r="C505" s="141" t="s">
        <v>1032</v>
      </c>
      <c r="D505" s="141" t="s">
        <v>386</v>
      </c>
      <c r="E505" s="141" t="s">
        <v>15</v>
      </c>
      <c r="F505" s="147">
        <f t="shared" si="115"/>
        <v>7967.5</v>
      </c>
      <c r="G505" s="147">
        <f t="shared" si="115"/>
        <v>7966.8068000000003</v>
      </c>
      <c r="H505" s="131">
        <f t="shared" si="112"/>
        <v>99.991299654847822</v>
      </c>
    </row>
    <row r="506" spans="1:8" ht="31.5" x14ac:dyDescent="0.2">
      <c r="A506" s="157" t="s">
        <v>17</v>
      </c>
      <c r="B506" s="141" t="s">
        <v>994</v>
      </c>
      <c r="C506" s="141" t="s">
        <v>1032</v>
      </c>
      <c r="D506" s="141" t="s">
        <v>386</v>
      </c>
      <c r="E506" s="141" t="s">
        <v>16</v>
      </c>
      <c r="F506" s="147">
        <f>F508+F507</f>
        <v>7967.5</v>
      </c>
      <c r="G506" s="147">
        <f>G507+G508</f>
        <v>7966.8068000000003</v>
      </c>
      <c r="H506" s="131">
        <f t="shared" si="112"/>
        <v>99.991299654847822</v>
      </c>
    </row>
    <row r="507" spans="1:8" s="82" customFormat="1" ht="31.5" hidden="1" x14ac:dyDescent="0.2">
      <c r="A507" s="46" t="s">
        <v>787</v>
      </c>
      <c r="B507" s="2" t="s">
        <v>994</v>
      </c>
      <c r="C507" s="2" t="s">
        <v>1032</v>
      </c>
      <c r="D507" s="2" t="s">
        <v>386</v>
      </c>
      <c r="E507" s="47">
        <v>243</v>
      </c>
      <c r="F507" s="10">
        <v>1557.5</v>
      </c>
      <c r="G507" s="10">
        <v>1557.5</v>
      </c>
      <c r="H507" s="97">
        <f t="shared" si="112"/>
        <v>100</v>
      </c>
    </row>
    <row r="508" spans="1:8" s="82" customFormat="1" ht="18.75" hidden="1" x14ac:dyDescent="0.2">
      <c r="A508" s="3" t="s">
        <v>548</v>
      </c>
      <c r="B508" s="2" t="s">
        <v>994</v>
      </c>
      <c r="C508" s="2" t="s">
        <v>1032</v>
      </c>
      <c r="D508" s="2" t="s">
        <v>386</v>
      </c>
      <c r="E508" s="2" t="s">
        <v>67</v>
      </c>
      <c r="F508" s="10">
        <f>8141-965-78-688</f>
        <v>6410</v>
      </c>
      <c r="G508" s="10">
        <v>6409.3068000000003</v>
      </c>
      <c r="H508" s="97">
        <f t="shared" si="112"/>
        <v>99.989185647425899</v>
      </c>
    </row>
    <row r="509" spans="1:8" ht="31.5" x14ac:dyDescent="0.2">
      <c r="A509" s="155" t="s">
        <v>846</v>
      </c>
      <c r="B509" s="148" t="s">
        <v>994</v>
      </c>
      <c r="C509" s="148" t="s">
        <v>1032</v>
      </c>
      <c r="D509" s="148" t="s">
        <v>711</v>
      </c>
      <c r="E509" s="148"/>
      <c r="F509" s="183">
        <f>F510</f>
        <v>23000</v>
      </c>
      <c r="G509" s="183">
        <f t="shared" ref="G509:G511" si="116">G510</f>
        <v>22740.695889999999</v>
      </c>
      <c r="H509" s="131">
        <f t="shared" si="112"/>
        <v>98.872590826086949</v>
      </c>
    </row>
    <row r="510" spans="1:8" ht="18.75" x14ac:dyDescent="0.2">
      <c r="A510" s="145" t="s">
        <v>871</v>
      </c>
      <c r="B510" s="141" t="s">
        <v>994</v>
      </c>
      <c r="C510" s="141" t="s">
        <v>1032</v>
      </c>
      <c r="D510" s="141" t="s">
        <v>711</v>
      </c>
      <c r="E510" s="141" t="s">
        <v>15</v>
      </c>
      <c r="F510" s="168">
        <f>F511</f>
        <v>23000</v>
      </c>
      <c r="G510" s="168">
        <f t="shared" si="116"/>
        <v>22740.695889999999</v>
      </c>
      <c r="H510" s="131">
        <f t="shared" si="112"/>
        <v>98.872590826086949</v>
      </c>
    </row>
    <row r="511" spans="1:8" ht="31.5" x14ac:dyDescent="0.2">
      <c r="A511" s="145" t="s">
        <v>17</v>
      </c>
      <c r="B511" s="141" t="s">
        <v>994</v>
      </c>
      <c r="C511" s="141" t="s">
        <v>1032</v>
      </c>
      <c r="D511" s="141" t="s">
        <v>711</v>
      </c>
      <c r="E511" s="141" t="s">
        <v>16</v>
      </c>
      <c r="F511" s="168">
        <f>F512</f>
        <v>23000</v>
      </c>
      <c r="G511" s="168">
        <f t="shared" si="116"/>
        <v>22740.695889999999</v>
      </c>
      <c r="H511" s="131">
        <f t="shared" si="112"/>
        <v>98.872590826086949</v>
      </c>
    </row>
    <row r="512" spans="1:8" s="82" customFormat="1" ht="31.5" hidden="1" x14ac:dyDescent="0.2">
      <c r="A512" s="46" t="s">
        <v>787</v>
      </c>
      <c r="B512" s="2" t="s">
        <v>994</v>
      </c>
      <c r="C512" s="2" t="s">
        <v>1032</v>
      </c>
      <c r="D512" s="2" t="s">
        <v>711</v>
      </c>
      <c r="E512" s="47">
        <v>243</v>
      </c>
      <c r="F512" s="35">
        <f>100000-20000-5000-47000-5000</f>
        <v>23000</v>
      </c>
      <c r="G512" s="64">
        <v>22740.695889999999</v>
      </c>
      <c r="H512" s="97">
        <f t="shared" si="112"/>
        <v>98.872590826086949</v>
      </c>
    </row>
    <row r="513" spans="1:8" ht="31.5" x14ac:dyDescent="0.2">
      <c r="A513" s="132" t="s">
        <v>387</v>
      </c>
      <c r="B513" s="133" t="s">
        <v>994</v>
      </c>
      <c r="C513" s="133" t="s">
        <v>1032</v>
      </c>
      <c r="D513" s="139" t="s">
        <v>286</v>
      </c>
      <c r="E513" s="161"/>
      <c r="F513" s="134">
        <f>F514</f>
        <v>82946</v>
      </c>
      <c r="G513" s="134">
        <f>G514</f>
        <v>82321.774489999982</v>
      </c>
      <c r="H513" s="131">
        <f t="shared" si="112"/>
        <v>99.247431449376677</v>
      </c>
    </row>
    <row r="514" spans="1:8" ht="18.75" x14ac:dyDescent="0.2">
      <c r="A514" s="155" t="s">
        <v>112</v>
      </c>
      <c r="B514" s="148" t="s">
        <v>994</v>
      </c>
      <c r="C514" s="148" t="s">
        <v>1032</v>
      </c>
      <c r="D514" s="148" t="s">
        <v>388</v>
      </c>
      <c r="E514" s="148"/>
      <c r="F514" s="144">
        <f>F515+F520+F524</f>
        <v>82946</v>
      </c>
      <c r="G514" s="144">
        <f>G515+G520+G524</f>
        <v>82321.774489999982</v>
      </c>
      <c r="H514" s="131">
        <f t="shared" si="112"/>
        <v>99.247431449376677</v>
      </c>
    </row>
    <row r="515" spans="1:8" ht="47.25" x14ac:dyDescent="0.2">
      <c r="A515" s="157" t="s">
        <v>35</v>
      </c>
      <c r="B515" s="141" t="s">
        <v>994</v>
      </c>
      <c r="C515" s="141" t="s">
        <v>1032</v>
      </c>
      <c r="D515" s="141" t="s">
        <v>388</v>
      </c>
      <c r="E515" s="141">
        <v>100</v>
      </c>
      <c r="F515" s="147">
        <f>F516</f>
        <v>63991</v>
      </c>
      <c r="G515" s="147">
        <f>G516</f>
        <v>63973.692469999995</v>
      </c>
      <c r="H515" s="131">
        <f t="shared" si="112"/>
        <v>99.972953180916051</v>
      </c>
    </row>
    <row r="516" spans="1:8" ht="18.75" x14ac:dyDescent="0.2">
      <c r="A516" s="157" t="s">
        <v>30</v>
      </c>
      <c r="B516" s="141" t="s">
        <v>994</v>
      </c>
      <c r="C516" s="141" t="s">
        <v>1032</v>
      </c>
      <c r="D516" s="141" t="s">
        <v>388</v>
      </c>
      <c r="E516" s="141" t="s">
        <v>29</v>
      </c>
      <c r="F516" s="147">
        <f>F517+F518+F519</f>
        <v>63991</v>
      </c>
      <c r="G516" s="147">
        <f>G517+G518+G519</f>
        <v>63973.692469999995</v>
      </c>
      <c r="H516" s="131">
        <f t="shared" si="112"/>
        <v>99.972953180916051</v>
      </c>
    </row>
    <row r="517" spans="1:8" s="82" customFormat="1" ht="18.75" hidden="1" x14ac:dyDescent="0.2">
      <c r="A517" s="28" t="s">
        <v>237</v>
      </c>
      <c r="B517" s="2" t="s">
        <v>994</v>
      </c>
      <c r="C517" s="2" t="s">
        <v>1032</v>
      </c>
      <c r="D517" s="2" t="s">
        <v>388</v>
      </c>
      <c r="E517" s="2" t="s">
        <v>77</v>
      </c>
      <c r="F517" s="10">
        <f>36906+3644+385</f>
        <v>40935</v>
      </c>
      <c r="G517" s="10">
        <v>40933.82935</v>
      </c>
      <c r="H517" s="97">
        <f t="shared" si="112"/>
        <v>99.997140222303642</v>
      </c>
    </row>
    <row r="518" spans="1:8" s="82" customFormat="1" ht="31.5" hidden="1" x14ac:dyDescent="0.2">
      <c r="A518" s="28" t="s">
        <v>79</v>
      </c>
      <c r="B518" s="2" t="s">
        <v>994</v>
      </c>
      <c r="C518" s="2" t="s">
        <v>1032</v>
      </c>
      <c r="D518" s="2" t="s">
        <v>388</v>
      </c>
      <c r="E518" s="2" t="s">
        <v>78</v>
      </c>
      <c r="F518" s="10">
        <f>9002+900-1544</f>
        <v>8358</v>
      </c>
      <c r="G518" s="10">
        <v>8357.3374700000004</v>
      </c>
      <c r="H518" s="97">
        <f t="shared" si="112"/>
        <v>99.992073103613308</v>
      </c>
    </row>
    <row r="519" spans="1:8" s="82" customFormat="1" ht="31.5" hidden="1" x14ac:dyDescent="0.2">
      <c r="A519" s="28" t="s">
        <v>137</v>
      </c>
      <c r="B519" s="2" t="s">
        <v>994</v>
      </c>
      <c r="C519" s="2" t="s">
        <v>1032</v>
      </c>
      <c r="D519" s="2" t="s">
        <v>388</v>
      </c>
      <c r="E519" s="2" t="s">
        <v>136</v>
      </c>
      <c r="F519" s="10">
        <f>13864+1372-538</f>
        <v>14698</v>
      </c>
      <c r="G519" s="10">
        <v>14682.52565</v>
      </c>
      <c r="H519" s="97">
        <f t="shared" si="112"/>
        <v>99.894717988842018</v>
      </c>
    </row>
    <row r="520" spans="1:8" ht="18.75" x14ac:dyDescent="0.2">
      <c r="A520" s="157" t="s">
        <v>871</v>
      </c>
      <c r="B520" s="141" t="s">
        <v>994</v>
      </c>
      <c r="C520" s="141" t="s">
        <v>1032</v>
      </c>
      <c r="D520" s="141" t="s">
        <v>388</v>
      </c>
      <c r="E520" s="141" t="s">
        <v>15</v>
      </c>
      <c r="F520" s="147">
        <f>F521</f>
        <v>18939</v>
      </c>
      <c r="G520" s="147">
        <f>G521</f>
        <v>18332.891519999997</v>
      </c>
      <c r="H520" s="131">
        <f t="shared" si="112"/>
        <v>96.799680658957683</v>
      </c>
    </row>
    <row r="521" spans="1:8" ht="31.5" x14ac:dyDescent="0.2">
      <c r="A521" s="157" t="s">
        <v>17</v>
      </c>
      <c r="B521" s="141" t="s">
        <v>994</v>
      </c>
      <c r="C521" s="141" t="s">
        <v>1032</v>
      </c>
      <c r="D521" s="141" t="s">
        <v>388</v>
      </c>
      <c r="E521" s="141" t="s">
        <v>16</v>
      </c>
      <c r="F521" s="147">
        <f>F522+F523</f>
        <v>18939</v>
      </c>
      <c r="G521" s="147">
        <f>G522+G523</f>
        <v>18332.891519999997</v>
      </c>
      <c r="H521" s="131">
        <f t="shared" si="112"/>
        <v>96.799680658957683</v>
      </c>
    </row>
    <row r="522" spans="1:8" s="82" customFormat="1" ht="31.5" hidden="1" x14ac:dyDescent="0.2">
      <c r="A522" s="28" t="s">
        <v>389</v>
      </c>
      <c r="B522" s="2" t="s">
        <v>994</v>
      </c>
      <c r="C522" s="2" t="s">
        <v>1032</v>
      </c>
      <c r="D522" s="2" t="s">
        <v>388</v>
      </c>
      <c r="E522" s="2" t="s">
        <v>368</v>
      </c>
      <c r="F522" s="10">
        <f>1770-155-30-8</f>
        <v>1577</v>
      </c>
      <c r="G522" s="10">
        <v>1549.7052699999999</v>
      </c>
      <c r="H522" s="97">
        <f t="shared" si="112"/>
        <v>98.269199112238425</v>
      </c>
    </row>
    <row r="523" spans="1:8" s="82" customFormat="1" ht="18.75" hidden="1" x14ac:dyDescent="0.2">
      <c r="A523" s="3" t="s">
        <v>548</v>
      </c>
      <c r="B523" s="2" t="s">
        <v>994</v>
      </c>
      <c r="C523" s="2" t="s">
        <v>1032</v>
      </c>
      <c r="D523" s="2" t="s">
        <v>388</v>
      </c>
      <c r="E523" s="2" t="s">
        <v>67</v>
      </c>
      <c r="F523" s="10">
        <f>11612-10-590+7622-895-377</f>
        <v>17362</v>
      </c>
      <c r="G523" s="10">
        <v>16783.186249999999</v>
      </c>
      <c r="H523" s="97">
        <f t="shared" si="112"/>
        <v>96.666203490381292</v>
      </c>
    </row>
    <row r="524" spans="1:8" ht="18.75" x14ac:dyDescent="0.2">
      <c r="A524" s="157" t="s">
        <v>13</v>
      </c>
      <c r="B524" s="141" t="s">
        <v>994</v>
      </c>
      <c r="C524" s="141" t="s">
        <v>1032</v>
      </c>
      <c r="D524" s="141" t="s">
        <v>388</v>
      </c>
      <c r="E524" s="141">
        <v>800</v>
      </c>
      <c r="F524" s="147">
        <f>F525</f>
        <v>16</v>
      </c>
      <c r="G524" s="147">
        <f>G525</f>
        <v>15.1905</v>
      </c>
      <c r="H524" s="131">
        <f t="shared" si="112"/>
        <v>94.940624999999997</v>
      </c>
    </row>
    <row r="525" spans="1:8" ht="18.75" x14ac:dyDescent="0.2">
      <c r="A525" s="157" t="s">
        <v>32</v>
      </c>
      <c r="B525" s="141" t="s">
        <v>994</v>
      </c>
      <c r="C525" s="141" t="s">
        <v>1032</v>
      </c>
      <c r="D525" s="141" t="s">
        <v>388</v>
      </c>
      <c r="E525" s="141">
        <v>850</v>
      </c>
      <c r="F525" s="147">
        <f>F526</f>
        <v>16</v>
      </c>
      <c r="G525" s="147">
        <f>G526</f>
        <v>15.1905</v>
      </c>
      <c r="H525" s="131">
        <f t="shared" si="112"/>
        <v>94.940624999999997</v>
      </c>
    </row>
    <row r="526" spans="1:8" s="82" customFormat="1" ht="18.75" hidden="1" x14ac:dyDescent="0.2">
      <c r="A526" s="28" t="s">
        <v>70</v>
      </c>
      <c r="B526" s="2" t="s">
        <v>994</v>
      </c>
      <c r="C526" s="2" t="s">
        <v>1032</v>
      </c>
      <c r="D526" s="2" t="s">
        <v>388</v>
      </c>
      <c r="E526" s="2" t="s">
        <v>71</v>
      </c>
      <c r="F526" s="10">
        <f>5+10+4-3</f>
        <v>16</v>
      </c>
      <c r="G526" s="10">
        <v>15.1905</v>
      </c>
      <c r="H526" s="97">
        <f t="shared" si="112"/>
        <v>94.940624999999997</v>
      </c>
    </row>
    <row r="527" spans="1:8" ht="31.5" x14ac:dyDescent="0.2">
      <c r="A527" s="132" t="s">
        <v>396</v>
      </c>
      <c r="B527" s="133" t="s">
        <v>994</v>
      </c>
      <c r="C527" s="133" t="s">
        <v>1032</v>
      </c>
      <c r="D527" s="133" t="s">
        <v>712</v>
      </c>
      <c r="E527" s="133"/>
      <c r="F527" s="203">
        <f>F528</f>
        <v>337</v>
      </c>
      <c r="G527" s="203">
        <f t="shared" ref="G527:G530" si="117">G528</f>
        <v>308.87405999999999</v>
      </c>
      <c r="H527" s="131">
        <f t="shared" si="112"/>
        <v>91.654023738872397</v>
      </c>
    </row>
    <row r="528" spans="1:8" ht="31.5" x14ac:dyDescent="0.2">
      <c r="A528" s="155" t="s">
        <v>397</v>
      </c>
      <c r="B528" s="148" t="s">
        <v>994</v>
      </c>
      <c r="C528" s="148" t="s">
        <v>1032</v>
      </c>
      <c r="D528" s="148" t="s">
        <v>713</v>
      </c>
      <c r="E528" s="148"/>
      <c r="F528" s="183">
        <f>F529</f>
        <v>337</v>
      </c>
      <c r="G528" s="183">
        <f t="shared" si="117"/>
        <v>308.87405999999999</v>
      </c>
      <c r="H528" s="131">
        <f t="shared" si="112"/>
        <v>91.654023738872397</v>
      </c>
    </row>
    <row r="529" spans="1:8" ht="18.75" x14ac:dyDescent="0.2">
      <c r="A529" s="145" t="s">
        <v>871</v>
      </c>
      <c r="B529" s="141" t="s">
        <v>994</v>
      </c>
      <c r="C529" s="141" t="s">
        <v>1032</v>
      </c>
      <c r="D529" s="141" t="s">
        <v>713</v>
      </c>
      <c r="E529" s="141" t="s">
        <v>15</v>
      </c>
      <c r="F529" s="160">
        <f>F530</f>
        <v>337</v>
      </c>
      <c r="G529" s="160">
        <f t="shared" si="117"/>
        <v>308.87405999999999</v>
      </c>
      <c r="H529" s="131">
        <f t="shared" si="112"/>
        <v>91.654023738872397</v>
      </c>
    </row>
    <row r="530" spans="1:8" ht="31.5" x14ac:dyDescent="0.2">
      <c r="A530" s="157" t="s">
        <v>17</v>
      </c>
      <c r="B530" s="141" t="s">
        <v>994</v>
      </c>
      <c r="C530" s="141" t="s">
        <v>1032</v>
      </c>
      <c r="D530" s="141" t="s">
        <v>713</v>
      </c>
      <c r="E530" s="141" t="s">
        <v>16</v>
      </c>
      <c r="F530" s="160">
        <f>F531</f>
        <v>337</v>
      </c>
      <c r="G530" s="160">
        <f t="shared" si="117"/>
        <v>308.87405999999999</v>
      </c>
      <c r="H530" s="131">
        <f t="shared" si="112"/>
        <v>91.654023738872397</v>
      </c>
    </row>
    <row r="531" spans="1:8" s="82" customFormat="1" ht="18.75" hidden="1" x14ac:dyDescent="0.2">
      <c r="A531" s="28" t="s">
        <v>549</v>
      </c>
      <c r="B531" s="2" t="s">
        <v>994</v>
      </c>
      <c r="C531" s="2" t="s">
        <v>1032</v>
      </c>
      <c r="D531" s="2" t="s">
        <v>713</v>
      </c>
      <c r="E531" s="2" t="s">
        <v>67</v>
      </c>
      <c r="F531" s="62">
        <f>2120-610-1010-163</f>
        <v>337</v>
      </c>
      <c r="G531" s="62">
        <v>308.87405999999999</v>
      </c>
      <c r="H531" s="97">
        <f t="shared" si="112"/>
        <v>91.654023738872397</v>
      </c>
    </row>
    <row r="532" spans="1:8" ht="31.5" x14ac:dyDescent="0.2">
      <c r="A532" s="135" t="s">
        <v>390</v>
      </c>
      <c r="B532" s="136" t="s">
        <v>994</v>
      </c>
      <c r="C532" s="136" t="s">
        <v>1032</v>
      </c>
      <c r="D532" s="137" t="s">
        <v>391</v>
      </c>
      <c r="E532" s="173"/>
      <c r="F532" s="138">
        <f>F533</f>
        <v>3300</v>
      </c>
      <c r="G532" s="138">
        <f t="shared" ref="G532" si="118">G533</f>
        <v>3258.4117200000001</v>
      </c>
      <c r="H532" s="131">
        <f t="shared" si="112"/>
        <v>98.739749090909086</v>
      </c>
    </row>
    <row r="533" spans="1:8" ht="31.5" x14ac:dyDescent="0.2">
      <c r="A533" s="132" t="s">
        <v>392</v>
      </c>
      <c r="B533" s="133" t="s">
        <v>994</v>
      </c>
      <c r="C533" s="133" t="s">
        <v>1032</v>
      </c>
      <c r="D533" s="133" t="s">
        <v>393</v>
      </c>
      <c r="E533" s="133"/>
      <c r="F533" s="134">
        <f t="shared" ref="F533:G535" si="119">F534</f>
        <v>3300</v>
      </c>
      <c r="G533" s="134">
        <f t="shared" si="119"/>
        <v>3258.4117200000001</v>
      </c>
      <c r="H533" s="131">
        <f t="shared" si="112"/>
        <v>98.739749090909086</v>
      </c>
    </row>
    <row r="534" spans="1:8" ht="31.5" x14ac:dyDescent="0.2">
      <c r="A534" s="140" t="s">
        <v>394</v>
      </c>
      <c r="B534" s="148" t="s">
        <v>994</v>
      </c>
      <c r="C534" s="148" t="s">
        <v>1032</v>
      </c>
      <c r="D534" s="148" t="s">
        <v>395</v>
      </c>
      <c r="E534" s="148"/>
      <c r="F534" s="144">
        <f t="shared" si="119"/>
        <v>3300</v>
      </c>
      <c r="G534" s="144">
        <f t="shared" si="119"/>
        <v>3258.4117200000001</v>
      </c>
      <c r="H534" s="131">
        <f t="shared" si="112"/>
        <v>98.739749090909086</v>
      </c>
    </row>
    <row r="535" spans="1:8" ht="18.75" x14ac:dyDescent="0.2">
      <c r="A535" s="204" t="s">
        <v>871</v>
      </c>
      <c r="B535" s="141" t="s">
        <v>994</v>
      </c>
      <c r="C535" s="141" t="s">
        <v>1032</v>
      </c>
      <c r="D535" s="141" t="s">
        <v>395</v>
      </c>
      <c r="E535" s="151" t="s">
        <v>15</v>
      </c>
      <c r="F535" s="147">
        <f t="shared" si="119"/>
        <v>3300</v>
      </c>
      <c r="G535" s="147">
        <f t="shared" si="119"/>
        <v>3258.4117200000001</v>
      </c>
      <c r="H535" s="131">
        <f t="shared" si="112"/>
        <v>98.739749090909086</v>
      </c>
    </row>
    <row r="536" spans="1:8" ht="31.5" x14ac:dyDescent="0.2">
      <c r="A536" s="162" t="s">
        <v>17</v>
      </c>
      <c r="B536" s="141" t="s">
        <v>994</v>
      </c>
      <c r="C536" s="141" t="s">
        <v>1032</v>
      </c>
      <c r="D536" s="141" t="s">
        <v>395</v>
      </c>
      <c r="E536" s="151" t="s">
        <v>16</v>
      </c>
      <c r="F536" s="147">
        <f>F538+F537</f>
        <v>3300</v>
      </c>
      <c r="G536" s="147">
        <f>G538+G537</f>
        <v>3258.4117200000001</v>
      </c>
      <c r="H536" s="131">
        <f t="shared" si="112"/>
        <v>98.739749090909086</v>
      </c>
    </row>
    <row r="537" spans="1:8" s="82" customFormat="1" ht="31.5" hidden="1" x14ac:dyDescent="0.2">
      <c r="A537" s="27" t="s">
        <v>389</v>
      </c>
      <c r="B537" s="2" t="s">
        <v>994</v>
      </c>
      <c r="C537" s="2" t="s">
        <v>1032</v>
      </c>
      <c r="D537" s="2" t="s">
        <v>395</v>
      </c>
      <c r="E537" s="2" t="s">
        <v>368</v>
      </c>
      <c r="F537" s="10">
        <f>4795-2390</f>
        <v>2405</v>
      </c>
      <c r="G537" s="10">
        <v>2404.7659600000002</v>
      </c>
      <c r="H537" s="97">
        <f t="shared" si="112"/>
        <v>99.990268607068614</v>
      </c>
    </row>
    <row r="538" spans="1:8" s="82" customFormat="1" ht="18.75" hidden="1" x14ac:dyDescent="0.2">
      <c r="A538" s="3" t="s">
        <v>548</v>
      </c>
      <c r="B538" s="2" t="s">
        <v>994</v>
      </c>
      <c r="C538" s="2" t="s">
        <v>1032</v>
      </c>
      <c r="D538" s="2" t="s">
        <v>395</v>
      </c>
      <c r="E538" s="5" t="s">
        <v>67</v>
      </c>
      <c r="F538" s="10">
        <f>2732-1682-155</f>
        <v>895</v>
      </c>
      <c r="G538" s="10">
        <v>853.64576</v>
      </c>
      <c r="H538" s="97">
        <f t="shared" si="112"/>
        <v>95.379414525139666</v>
      </c>
    </row>
    <row r="539" spans="1:8" ht="18.75" x14ac:dyDescent="0.2">
      <c r="A539" s="135" t="s">
        <v>406</v>
      </c>
      <c r="B539" s="136" t="s">
        <v>994</v>
      </c>
      <c r="C539" s="136" t="s">
        <v>1032</v>
      </c>
      <c r="D539" s="137" t="s">
        <v>407</v>
      </c>
      <c r="E539" s="173"/>
      <c r="F539" s="138">
        <f t="shared" ref="F539:G543" si="120">F540</f>
        <v>24202</v>
      </c>
      <c r="G539" s="138">
        <f t="shared" si="120"/>
        <v>21358.13956</v>
      </c>
      <c r="H539" s="131">
        <f t="shared" si="112"/>
        <v>88.249481695727624</v>
      </c>
    </row>
    <row r="540" spans="1:8" ht="18.75" x14ac:dyDescent="0.2">
      <c r="A540" s="132" t="s">
        <v>408</v>
      </c>
      <c r="B540" s="133" t="s">
        <v>994</v>
      </c>
      <c r="C540" s="133" t="s">
        <v>1032</v>
      </c>
      <c r="D540" s="139" t="s">
        <v>409</v>
      </c>
      <c r="E540" s="205"/>
      <c r="F540" s="134">
        <f t="shared" si="120"/>
        <v>24202</v>
      </c>
      <c r="G540" s="134">
        <f t="shared" si="120"/>
        <v>21358.13956</v>
      </c>
      <c r="H540" s="131">
        <f t="shared" si="112"/>
        <v>88.249481695727624</v>
      </c>
    </row>
    <row r="541" spans="1:8" ht="18.75" x14ac:dyDescent="0.2">
      <c r="A541" s="206" t="s">
        <v>410</v>
      </c>
      <c r="B541" s="148" t="s">
        <v>994</v>
      </c>
      <c r="C541" s="148" t="s">
        <v>1032</v>
      </c>
      <c r="D541" s="142" t="s">
        <v>409</v>
      </c>
      <c r="E541" s="205"/>
      <c r="F541" s="144">
        <f t="shared" si="120"/>
        <v>24202</v>
      </c>
      <c r="G541" s="144">
        <f t="shared" si="120"/>
        <v>21358.13956</v>
      </c>
      <c r="H541" s="131">
        <f t="shared" si="112"/>
        <v>88.249481695727624</v>
      </c>
    </row>
    <row r="542" spans="1:8" ht="18.75" x14ac:dyDescent="0.2">
      <c r="A542" s="204" t="s">
        <v>871</v>
      </c>
      <c r="B542" s="141" t="s">
        <v>994</v>
      </c>
      <c r="C542" s="141" t="s">
        <v>1032</v>
      </c>
      <c r="D542" s="146" t="s">
        <v>409</v>
      </c>
      <c r="E542" s="207">
        <v>200</v>
      </c>
      <c r="F542" s="147">
        <f t="shared" si="120"/>
        <v>24202</v>
      </c>
      <c r="G542" s="147">
        <f t="shared" si="120"/>
        <v>21358.13956</v>
      </c>
      <c r="H542" s="131">
        <f t="shared" si="112"/>
        <v>88.249481695727624</v>
      </c>
    </row>
    <row r="543" spans="1:8" ht="31.5" x14ac:dyDescent="0.2">
      <c r="A543" s="162" t="s">
        <v>17</v>
      </c>
      <c r="B543" s="141" t="s">
        <v>994</v>
      </c>
      <c r="C543" s="141" t="s">
        <v>1032</v>
      </c>
      <c r="D543" s="146" t="s">
        <v>409</v>
      </c>
      <c r="E543" s="207">
        <v>240</v>
      </c>
      <c r="F543" s="147">
        <f t="shared" si="120"/>
        <v>24202</v>
      </c>
      <c r="G543" s="147">
        <f t="shared" si="120"/>
        <v>21358.13956</v>
      </c>
      <c r="H543" s="131">
        <f t="shared" si="112"/>
        <v>88.249481695727624</v>
      </c>
    </row>
    <row r="544" spans="1:8" s="82" customFormat="1" ht="18.75" hidden="1" x14ac:dyDescent="0.2">
      <c r="A544" s="3" t="s">
        <v>548</v>
      </c>
      <c r="B544" s="2" t="s">
        <v>994</v>
      </c>
      <c r="C544" s="2" t="s">
        <v>1032</v>
      </c>
      <c r="D544" s="4" t="s">
        <v>409</v>
      </c>
      <c r="E544" s="48">
        <v>244</v>
      </c>
      <c r="F544" s="10">
        <f>8552+20000-50-2659-1641</f>
        <v>24202</v>
      </c>
      <c r="G544" s="10">
        <v>21358.13956</v>
      </c>
      <c r="H544" s="97">
        <f t="shared" si="112"/>
        <v>88.249481695727624</v>
      </c>
    </row>
    <row r="545" spans="1:8" ht="31.5" x14ac:dyDescent="0.2">
      <c r="A545" s="132" t="s">
        <v>1033</v>
      </c>
      <c r="B545" s="133" t="s">
        <v>994</v>
      </c>
      <c r="C545" s="133" t="s">
        <v>1034</v>
      </c>
      <c r="D545" s="133"/>
      <c r="E545" s="133"/>
      <c r="F545" s="134">
        <f>F546</f>
        <v>146339.79999999999</v>
      </c>
      <c r="G545" s="134">
        <f>G546</f>
        <v>146112.79101000002</v>
      </c>
      <c r="H545" s="131">
        <f t="shared" si="112"/>
        <v>99.844875426917369</v>
      </c>
    </row>
    <row r="546" spans="1:8" ht="31.5" x14ac:dyDescent="0.2">
      <c r="A546" s="132" t="s">
        <v>1017</v>
      </c>
      <c r="B546" s="133" t="s">
        <v>994</v>
      </c>
      <c r="C546" s="133" t="s">
        <v>1034</v>
      </c>
      <c r="D546" s="133" t="s">
        <v>268</v>
      </c>
      <c r="E546" s="133"/>
      <c r="F546" s="134">
        <f>F547+F578</f>
        <v>146339.79999999999</v>
      </c>
      <c r="G546" s="134">
        <f>G547+G578</f>
        <v>146112.79101000002</v>
      </c>
      <c r="H546" s="131">
        <f t="shared" si="112"/>
        <v>99.844875426917369</v>
      </c>
    </row>
    <row r="547" spans="1:8" ht="19.5" x14ac:dyDescent="0.2">
      <c r="A547" s="175" t="s">
        <v>117</v>
      </c>
      <c r="B547" s="136" t="s">
        <v>994</v>
      </c>
      <c r="C547" s="136" t="s">
        <v>1034</v>
      </c>
      <c r="D547" s="136" t="s">
        <v>269</v>
      </c>
      <c r="E547" s="208"/>
      <c r="F547" s="138">
        <f>F548+F553+F560+F568</f>
        <v>132282.79999999999</v>
      </c>
      <c r="G547" s="138">
        <f>G548+G553+G560+G568</f>
        <v>132146.92425000001</v>
      </c>
      <c r="H547" s="131">
        <f t="shared" si="112"/>
        <v>99.897283887247639</v>
      </c>
    </row>
    <row r="548" spans="1:8" ht="31.5" x14ac:dyDescent="0.2">
      <c r="A548" s="154" t="s">
        <v>270</v>
      </c>
      <c r="B548" s="133" t="s">
        <v>994</v>
      </c>
      <c r="C548" s="133" t="s">
        <v>1034</v>
      </c>
      <c r="D548" s="133" t="s">
        <v>271</v>
      </c>
      <c r="E548" s="185"/>
      <c r="F548" s="134">
        <f t="shared" ref="F548:G551" si="121">F549</f>
        <v>67188</v>
      </c>
      <c r="G548" s="134">
        <f t="shared" si="121"/>
        <v>67184.981870000003</v>
      </c>
      <c r="H548" s="131">
        <f t="shared" si="112"/>
        <v>99.995507932964216</v>
      </c>
    </row>
    <row r="549" spans="1:8" ht="31.5" x14ac:dyDescent="0.2">
      <c r="A549" s="155" t="s">
        <v>272</v>
      </c>
      <c r="B549" s="148" t="s">
        <v>994</v>
      </c>
      <c r="C549" s="148" t="s">
        <v>1034</v>
      </c>
      <c r="D549" s="148" t="s">
        <v>273</v>
      </c>
      <c r="E549" s="209"/>
      <c r="F549" s="144">
        <f t="shared" si="121"/>
        <v>67188</v>
      </c>
      <c r="G549" s="144">
        <f t="shared" si="121"/>
        <v>67184.981870000003</v>
      </c>
      <c r="H549" s="131">
        <f t="shared" si="112"/>
        <v>99.995507932964216</v>
      </c>
    </row>
    <row r="550" spans="1:8" ht="18.75" x14ac:dyDescent="0.2">
      <c r="A550" s="157" t="s">
        <v>871</v>
      </c>
      <c r="B550" s="141" t="s">
        <v>994</v>
      </c>
      <c r="C550" s="141" t="s">
        <v>1034</v>
      </c>
      <c r="D550" s="141" t="s">
        <v>273</v>
      </c>
      <c r="E550" s="210" t="s">
        <v>15</v>
      </c>
      <c r="F550" s="147">
        <f t="shared" si="121"/>
        <v>67188</v>
      </c>
      <c r="G550" s="147">
        <f t="shared" si="121"/>
        <v>67184.981870000003</v>
      </c>
      <c r="H550" s="131">
        <f t="shared" si="112"/>
        <v>99.995507932964216</v>
      </c>
    </row>
    <row r="551" spans="1:8" ht="31.5" x14ac:dyDescent="0.2">
      <c r="A551" s="157" t="s">
        <v>17</v>
      </c>
      <c r="B551" s="141" t="s">
        <v>994</v>
      </c>
      <c r="C551" s="141" t="s">
        <v>1034</v>
      </c>
      <c r="D551" s="141" t="s">
        <v>273</v>
      </c>
      <c r="E551" s="143" t="s">
        <v>16</v>
      </c>
      <c r="F551" s="147">
        <f t="shared" si="121"/>
        <v>67188</v>
      </c>
      <c r="G551" s="147">
        <f t="shared" si="121"/>
        <v>67184.981870000003</v>
      </c>
      <c r="H551" s="131">
        <f t="shared" si="112"/>
        <v>99.995507932964216</v>
      </c>
    </row>
    <row r="552" spans="1:8" s="82" customFormat="1" ht="18.75" hidden="1" x14ac:dyDescent="0.2">
      <c r="A552" s="3" t="s">
        <v>548</v>
      </c>
      <c r="B552" s="2" t="s">
        <v>994</v>
      </c>
      <c r="C552" s="2" t="s">
        <v>1034</v>
      </c>
      <c r="D552" s="2" t="s">
        <v>273</v>
      </c>
      <c r="E552" s="33" t="s">
        <v>67</v>
      </c>
      <c r="F552" s="10">
        <f>70650-2313-1149</f>
        <v>67188</v>
      </c>
      <c r="G552" s="10">
        <v>67184.981870000003</v>
      </c>
      <c r="H552" s="97">
        <f t="shared" si="112"/>
        <v>99.995507932964216</v>
      </c>
    </row>
    <row r="553" spans="1:8" ht="18.75" x14ac:dyDescent="0.2">
      <c r="A553" s="154" t="s">
        <v>378</v>
      </c>
      <c r="B553" s="133" t="s">
        <v>994</v>
      </c>
      <c r="C553" s="133" t="s">
        <v>1034</v>
      </c>
      <c r="D553" s="133" t="s">
        <v>379</v>
      </c>
      <c r="E553" s="143"/>
      <c r="F553" s="134">
        <f>F554</f>
        <v>33</v>
      </c>
      <c r="G553" s="134">
        <f>G554</f>
        <v>33</v>
      </c>
      <c r="H553" s="131">
        <f t="shared" si="112"/>
        <v>100</v>
      </c>
    </row>
    <row r="554" spans="1:8" ht="31.5" x14ac:dyDescent="0.2">
      <c r="A554" s="155" t="s">
        <v>380</v>
      </c>
      <c r="B554" s="148" t="s">
        <v>994</v>
      </c>
      <c r="C554" s="148" t="s">
        <v>1034</v>
      </c>
      <c r="D554" s="148" t="s">
        <v>381</v>
      </c>
      <c r="E554" s="143"/>
      <c r="F554" s="144">
        <f>F555</f>
        <v>33</v>
      </c>
      <c r="G554" s="144">
        <f>G555</f>
        <v>33</v>
      </c>
      <c r="H554" s="131">
        <f t="shared" si="112"/>
        <v>100</v>
      </c>
    </row>
    <row r="555" spans="1:8" ht="31.5" x14ac:dyDescent="0.2">
      <c r="A555" s="157" t="s">
        <v>18</v>
      </c>
      <c r="B555" s="141" t="s">
        <v>994</v>
      </c>
      <c r="C555" s="141" t="s">
        <v>1034</v>
      </c>
      <c r="D555" s="141" t="s">
        <v>381</v>
      </c>
      <c r="E555" s="141">
        <v>600</v>
      </c>
      <c r="F555" s="147">
        <f>F556+F558</f>
        <v>33</v>
      </c>
      <c r="G555" s="147">
        <f>G556+G558</f>
        <v>33</v>
      </c>
      <c r="H555" s="131">
        <f t="shared" ref="H555:H609" si="122">G555/F555*100</f>
        <v>100</v>
      </c>
    </row>
    <row r="556" spans="1:8" ht="18.75" x14ac:dyDescent="0.2">
      <c r="A556" s="157" t="s">
        <v>24</v>
      </c>
      <c r="B556" s="141" t="s">
        <v>994</v>
      </c>
      <c r="C556" s="141" t="s">
        <v>1034</v>
      </c>
      <c r="D556" s="141" t="s">
        <v>381</v>
      </c>
      <c r="E556" s="143">
        <v>610</v>
      </c>
      <c r="F556" s="147">
        <f>F557</f>
        <v>25</v>
      </c>
      <c r="G556" s="147">
        <f>G557</f>
        <v>25</v>
      </c>
      <c r="H556" s="131">
        <f t="shared" si="122"/>
        <v>100</v>
      </c>
    </row>
    <row r="557" spans="1:8" s="82" customFormat="1" ht="18.75" hidden="1" x14ac:dyDescent="0.2">
      <c r="A557" s="28" t="s">
        <v>72</v>
      </c>
      <c r="B557" s="2" t="s">
        <v>994</v>
      </c>
      <c r="C557" s="2" t="s">
        <v>1034</v>
      </c>
      <c r="D557" s="2" t="s">
        <v>381</v>
      </c>
      <c r="E557" s="33" t="s">
        <v>73</v>
      </c>
      <c r="F557" s="10">
        <f>25</f>
        <v>25</v>
      </c>
      <c r="G557" s="10">
        <f>25</f>
        <v>25</v>
      </c>
      <c r="H557" s="97">
        <f t="shared" si="122"/>
        <v>100</v>
      </c>
    </row>
    <row r="558" spans="1:8" ht="18.75" x14ac:dyDescent="0.2">
      <c r="A558" s="157" t="s">
        <v>115</v>
      </c>
      <c r="B558" s="141" t="s">
        <v>994</v>
      </c>
      <c r="C558" s="141" t="s">
        <v>1034</v>
      </c>
      <c r="D558" s="141" t="s">
        <v>381</v>
      </c>
      <c r="E558" s="141" t="s">
        <v>21</v>
      </c>
      <c r="F558" s="147">
        <f>F559</f>
        <v>8</v>
      </c>
      <c r="G558" s="147">
        <f>G559</f>
        <v>8</v>
      </c>
      <c r="H558" s="131">
        <f t="shared" si="122"/>
        <v>100</v>
      </c>
    </row>
    <row r="559" spans="1:8" s="82" customFormat="1" ht="18.75" hidden="1" x14ac:dyDescent="0.2">
      <c r="A559" s="28" t="s">
        <v>74</v>
      </c>
      <c r="B559" s="2" t="s">
        <v>994</v>
      </c>
      <c r="C559" s="2" t="s">
        <v>1034</v>
      </c>
      <c r="D559" s="2" t="s">
        <v>381</v>
      </c>
      <c r="E559" s="2" t="s">
        <v>75</v>
      </c>
      <c r="F559" s="10">
        <v>8</v>
      </c>
      <c r="G559" s="10">
        <v>8</v>
      </c>
      <c r="H559" s="97">
        <f t="shared" si="122"/>
        <v>100</v>
      </c>
    </row>
    <row r="560" spans="1:8" ht="47.25" x14ac:dyDescent="0.2">
      <c r="A560" s="154" t="s">
        <v>274</v>
      </c>
      <c r="B560" s="133" t="s">
        <v>994</v>
      </c>
      <c r="C560" s="133" t="s">
        <v>1034</v>
      </c>
      <c r="D560" s="133" t="s">
        <v>275</v>
      </c>
      <c r="E560" s="133"/>
      <c r="F560" s="134">
        <f>F561</f>
        <v>1630</v>
      </c>
      <c r="G560" s="134">
        <f>G561</f>
        <v>1566.1955800000001</v>
      </c>
      <c r="H560" s="131">
        <f t="shared" si="122"/>
        <v>96.085618404907976</v>
      </c>
    </row>
    <row r="561" spans="1:8" ht="31.5" x14ac:dyDescent="0.2">
      <c r="A561" s="155" t="s">
        <v>276</v>
      </c>
      <c r="B561" s="148" t="s">
        <v>994</v>
      </c>
      <c r="C561" s="148" t="s">
        <v>1034</v>
      </c>
      <c r="D561" s="148" t="s">
        <v>277</v>
      </c>
      <c r="E561" s="148"/>
      <c r="F561" s="144">
        <f>F562+F565</f>
        <v>1630</v>
      </c>
      <c r="G561" s="144">
        <f>G562+G565</f>
        <v>1566.1955800000001</v>
      </c>
      <c r="H561" s="131">
        <f t="shared" si="122"/>
        <v>96.085618404907976</v>
      </c>
    </row>
    <row r="562" spans="1:8" ht="18.75" x14ac:dyDescent="0.2">
      <c r="A562" s="157" t="s">
        <v>871</v>
      </c>
      <c r="B562" s="141" t="s">
        <v>994</v>
      </c>
      <c r="C562" s="141" t="s">
        <v>1034</v>
      </c>
      <c r="D562" s="141" t="s">
        <v>277</v>
      </c>
      <c r="E562" s="141">
        <v>200</v>
      </c>
      <c r="F562" s="147">
        <f t="shared" ref="F562:G563" si="123">F563</f>
        <v>425</v>
      </c>
      <c r="G562" s="147">
        <f t="shared" si="123"/>
        <v>419.60057999999998</v>
      </c>
      <c r="H562" s="131">
        <f t="shared" si="122"/>
        <v>98.729548235294118</v>
      </c>
    </row>
    <row r="563" spans="1:8" ht="31.5" x14ac:dyDescent="0.2">
      <c r="A563" s="157" t="s">
        <v>17</v>
      </c>
      <c r="B563" s="141" t="s">
        <v>994</v>
      </c>
      <c r="C563" s="141" t="s">
        <v>1034</v>
      </c>
      <c r="D563" s="141" t="s">
        <v>277</v>
      </c>
      <c r="E563" s="141">
        <v>240</v>
      </c>
      <c r="F563" s="147">
        <f t="shared" si="123"/>
        <v>425</v>
      </c>
      <c r="G563" s="147">
        <f t="shared" si="123"/>
        <v>419.60057999999998</v>
      </c>
      <c r="H563" s="131">
        <f t="shared" si="122"/>
        <v>98.729548235294118</v>
      </c>
    </row>
    <row r="564" spans="1:8" s="82" customFormat="1" ht="18.75" hidden="1" x14ac:dyDescent="0.2">
      <c r="A564" s="3" t="s">
        <v>548</v>
      </c>
      <c r="B564" s="2" t="s">
        <v>994</v>
      </c>
      <c r="C564" s="2" t="s">
        <v>1034</v>
      </c>
      <c r="D564" s="2" t="s">
        <v>277</v>
      </c>
      <c r="E564" s="2" t="s">
        <v>67</v>
      </c>
      <c r="F564" s="10">
        <v>425</v>
      </c>
      <c r="G564" s="10">
        <v>419.60057999999998</v>
      </c>
      <c r="H564" s="97">
        <f t="shared" si="122"/>
        <v>98.729548235294118</v>
      </c>
    </row>
    <row r="565" spans="1:8" ht="31.5" x14ac:dyDescent="0.2">
      <c r="A565" s="157" t="s">
        <v>18</v>
      </c>
      <c r="B565" s="141" t="s">
        <v>994</v>
      </c>
      <c r="C565" s="141" t="s">
        <v>1034</v>
      </c>
      <c r="D565" s="141" t="s">
        <v>277</v>
      </c>
      <c r="E565" s="141">
        <v>600</v>
      </c>
      <c r="F565" s="147">
        <f t="shared" ref="F565:G566" si="124">F566</f>
        <v>1205</v>
      </c>
      <c r="G565" s="147">
        <f t="shared" si="124"/>
        <v>1146.595</v>
      </c>
      <c r="H565" s="131">
        <f t="shared" si="122"/>
        <v>95.153112033195015</v>
      </c>
    </row>
    <row r="566" spans="1:8" ht="18.75" x14ac:dyDescent="0.2">
      <c r="A566" s="157" t="s">
        <v>24</v>
      </c>
      <c r="B566" s="141" t="s">
        <v>994</v>
      </c>
      <c r="C566" s="141" t="s">
        <v>1034</v>
      </c>
      <c r="D566" s="141" t="s">
        <v>277</v>
      </c>
      <c r="E566" s="143">
        <v>610</v>
      </c>
      <c r="F566" s="147">
        <f t="shared" si="124"/>
        <v>1205</v>
      </c>
      <c r="G566" s="147">
        <f t="shared" si="124"/>
        <v>1146.595</v>
      </c>
      <c r="H566" s="131">
        <f t="shared" si="122"/>
        <v>95.153112033195015</v>
      </c>
    </row>
    <row r="567" spans="1:8" s="82" customFormat="1" ht="18.75" hidden="1" x14ac:dyDescent="0.2">
      <c r="A567" s="28" t="s">
        <v>72</v>
      </c>
      <c r="B567" s="2" t="s">
        <v>994</v>
      </c>
      <c r="C567" s="2" t="s">
        <v>1034</v>
      </c>
      <c r="D567" s="2" t="s">
        <v>277</v>
      </c>
      <c r="E567" s="33" t="s">
        <v>73</v>
      </c>
      <c r="F567" s="10">
        <v>1205</v>
      </c>
      <c r="G567" s="10">
        <v>1146.595</v>
      </c>
      <c r="H567" s="97">
        <f t="shared" si="122"/>
        <v>95.153112033195015</v>
      </c>
    </row>
    <row r="568" spans="1:8" ht="18.75" x14ac:dyDescent="0.2">
      <c r="A568" s="154" t="s">
        <v>292</v>
      </c>
      <c r="B568" s="133" t="s">
        <v>994</v>
      </c>
      <c r="C568" s="133" t="s">
        <v>1034</v>
      </c>
      <c r="D568" s="133" t="s">
        <v>278</v>
      </c>
      <c r="E568" s="133"/>
      <c r="F568" s="134">
        <f>F569</f>
        <v>63431.8</v>
      </c>
      <c r="G568" s="134">
        <f>G569</f>
        <v>63362.746800000001</v>
      </c>
      <c r="H568" s="131">
        <f t="shared" si="122"/>
        <v>99.891137883522134</v>
      </c>
    </row>
    <row r="569" spans="1:8" ht="31.5" x14ac:dyDescent="0.2">
      <c r="A569" s="155" t="s">
        <v>279</v>
      </c>
      <c r="B569" s="148" t="s">
        <v>994</v>
      </c>
      <c r="C569" s="148" t="s">
        <v>1034</v>
      </c>
      <c r="D569" s="148" t="s">
        <v>280</v>
      </c>
      <c r="E569" s="148"/>
      <c r="F569" s="144">
        <f>F570+F573</f>
        <v>63431.8</v>
      </c>
      <c r="G569" s="144">
        <f>G570+G573</f>
        <v>63362.746800000001</v>
      </c>
      <c r="H569" s="131">
        <f t="shared" si="122"/>
        <v>99.891137883522134</v>
      </c>
    </row>
    <row r="570" spans="1:8" ht="18.75" x14ac:dyDescent="0.2">
      <c r="A570" s="157" t="s">
        <v>871</v>
      </c>
      <c r="B570" s="141" t="s">
        <v>994</v>
      </c>
      <c r="C570" s="141" t="s">
        <v>1034</v>
      </c>
      <c r="D570" s="141" t="s">
        <v>280</v>
      </c>
      <c r="E570" s="141" t="s">
        <v>15</v>
      </c>
      <c r="F570" s="147">
        <f t="shared" ref="F570:G571" si="125">F571</f>
        <v>41398.800000000003</v>
      </c>
      <c r="G570" s="147">
        <f t="shared" si="125"/>
        <v>41398.15094</v>
      </c>
      <c r="H570" s="131">
        <f t="shared" si="122"/>
        <v>99.998432176778067</v>
      </c>
    </row>
    <row r="571" spans="1:8" ht="31.5" x14ac:dyDescent="0.2">
      <c r="A571" s="157" t="s">
        <v>17</v>
      </c>
      <c r="B571" s="141" t="s">
        <v>994</v>
      </c>
      <c r="C571" s="141" t="s">
        <v>1034</v>
      </c>
      <c r="D571" s="141" t="s">
        <v>280</v>
      </c>
      <c r="E571" s="141" t="s">
        <v>16</v>
      </c>
      <c r="F571" s="147">
        <f t="shared" si="125"/>
        <v>41398.800000000003</v>
      </c>
      <c r="G571" s="147">
        <f t="shared" si="125"/>
        <v>41398.15094</v>
      </c>
      <c r="H571" s="131">
        <f t="shared" si="122"/>
        <v>99.998432176778067</v>
      </c>
    </row>
    <row r="572" spans="1:8" s="82" customFormat="1" ht="18.75" hidden="1" x14ac:dyDescent="0.2">
      <c r="A572" s="3" t="s">
        <v>548</v>
      </c>
      <c r="B572" s="2" t="s">
        <v>994</v>
      </c>
      <c r="C572" s="2" t="s">
        <v>1034</v>
      </c>
      <c r="D572" s="2" t="s">
        <v>280</v>
      </c>
      <c r="E572" s="2" t="s">
        <v>67</v>
      </c>
      <c r="F572" s="10">
        <f>12000+30000-601.2</f>
        <v>41398.800000000003</v>
      </c>
      <c r="G572" s="10">
        <v>41398.15094</v>
      </c>
      <c r="H572" s="97">
        <f t="shared" si="122"/>
        <v>99.998432176778067</v>
      </c>
    </row>
    <row r="573" spans="1:8" ht="31.5" x14ac:dyDescent="0.2">
      <c r="A573" s="157" t="s">
        <v>18</v>
      </c>
      <c r="B573" s="141" t="s">
        <v>994</v>
      </c>
      <c r="C573" s="141" t="s">
        <v>1034</v>
      </c>
      <c r="D573" s="141" t="s">
        <v>280</v>
      </c>
      <c r="E573" s="141" t="s">
        <v>20</v>
      </c>
      <c r="F573" s="147">
        <f>F574+F576</f>
        <v>22033</v>
      </c>
      <c r="G573" s="147">
        <f>G574+G576</f>
        <v>21964.595860000001</v>
      </c>
      <c r="H573" s="131">
        <f t="shared" si="122"/>
        <v>99.689537784232755</v>
      </c>
    </row>
    <row r="574" spans="1:8" ht="18.75" x14ac:dyDescent="0.2">
      <c r="A574" s="157" t="s">
        <v>24</v>
      </c>
      <c r="B574" s="141" t="s">
        <v>994</v>
      </c>
      <c r="C574" s="141" t="s">
        <v>1034</v>
      </c>
      <c r="D574" s="141" t="s">
        <v>280</v>
      </c>
      <c r="E574" s="141" t="s">
        <v>25</v>
      </c>
      <c r="F574" s="147">
        <f>F575</f>
        <v>16354</v>
      </c>
      <c r="G574" s="147">
        <f>G575</f>
        <v>16329.424859999999</v>
      </c>
      <c r="H574" s="131">
        <f t="shared" si="122"/>
        <v>99.849730096612447</v>
      </c>
    </row>
    <row r="575" spans="1:8" s="82" customFormat="1" ht="18.75" hidden="1" x14ac:dyDescent="0.2">
      <c r="A575" s="28" t="s">
        <v>72</v>
      </c>
      <c r="B575" s="2" t="s">
        <v>994</v>
      </c>
      <c r="C575" s="2" t="s">
        <v>1034</v>
      </c>
      <c r="D575" s="2" t="s">
        <v>280</v>
      </c>
      <c r="E575" s="2" t="s">
        <v>73</v>
      </c>
      <c r="F575" s="10">
        <f>56045+330-10000-30000-11-10</f>
        <v>16354</v>
      </c>
      <c r="G575" s="10">
        <v>16329.424859999999</v>
      </c>
      <c r="H575" s="97">
        <f t="shared" si="122"/>
        <v>99.849730096612447</v>
      </c>
    </row>
    <row r="576" spans="1:8" ht="18.75" x14ac:dyDescent="0.2">
      <c r="A576" s="157" t="s">
        <v>115</v>
      </c>
      <c r="B576" s="141" t="s">
        <v>994</v>
      </c>
      <c r="C576" s="141" t="s">
        <v>1034</v>
      </c>
      <c r="D576" s="141" t="s">
        <v>280</v>
      </c>
      <c r="E576" s="141" t="s">
        <v>21</v>
      </c>
      <c r="F576" s="147">
        <f>F577</f>
        <v>5679</v>
      </c>
      <c r="G576" s="147">
        <f>G577</f>
        <v>5635.1710000000003</v>
      </c>
      <c r="H576" s="131">
        <f t="shared" si="122"/>
        <v>99.228226800493047</v>
      </c>
    </row>
    <row r="577" spans="1:8" s="82" customFormat="1" ht="18.75" hidden="1" x14ac:dyDescent="0.2">
      <c r="A577" s="28" t="s">
        <v>74</v>
      </c>
      <c r="B577" s="2" t="s">
        <v>994</v>
      </c>
      <c r="C577" s="2" t="s">
        <v>1034</v>
      </c>
      <c r="D577" s="2" t="s">
        <v>280</v>
      </c>
      <c r="E577" s="2" t="s">
        <v>75</v>
      </c>
      <c r="F577" s="10">
        <f>4940-15+2424+1157+750+5000-5000-1930-478-508-641-20</f>
        <v>5679</v>
      </c>
      <c r="G577" s="10">
        <v>5635.1710000000003</v>
      </c>
      <c r="H577" s="97">
        <f t="shared" si="122"/>
        <v>99.228226800493047</v>
      </c>
    </row>
    <row r="578" spans="1:8" ht="18.75" x14ac:dyDescent="0.2">
      <c r="A578" s="135" t="s">
        <v>398</v>
      </c>
      <c r="B578" s="136" t="s">
        <v>994</v>
      </c>
      <c r="C578" s="136" t="s">
        <v>1034</v>
      </c>
      <c r="D578" s="137" t="s">
        <v>399</v>
      </c>
      <c r="E578" s="173"/>
      <c r="F578" s="138">
        <f>F579</f>
        <v>14057</v>
      </c>
      <c r="G578" s="138">
        <f>G579</f>
        <v>13965.866760000001</v>
      </c>
      <c r="H578" s="131">
        <f t="shared" si="122"/>
        <v>99.351687842356128</v>
      </c>
    </row>
    <row r="579" spans="1:8" ht="18.75" x14ac:dyDescent="0.2">
      <c r="A579" s="132" t="s">
        <v>400</v>
      </c>
      <c r="B579" s="133" t="s">
        <v>994</v>
      </c>
      <c r="C579" s="133" t="s">
        <v>1034</v>
      </c>
      <c r="D579" s="133" t="s">
        <v>401</v>
      </c>
      <c r="E579" s="141"/>
      <c r="F579" s="134">
        <f>F580+F589</f>
        <v>14057</v>
      </c>
      <c r="G579" s="134">
        <f>G580+G589</f>
        <v>13965.866760000001</v>
      </c>
      <c r="H579" s="131">
        <f t="shared" si="122"/>
        <v>99.351687842356128</v>
      </c>
    </row>
    <row r="580" spans="1:8" ht="18.75" x14ac:dyDescent="0.2">
      <c r="A580" s="155" t="s">
        <v>402</v>
      </c>
      <c r="B580" s="148" t="s">
        <v>994</v>
      </c>
      <c r="C580" s="148" t="s">
        <v>1034</v>
      </c>
      <c r="D580" s="148" t="s">
        <v>403</v>
      </c>
      <c r="E580" s="148"/>
      <c r="F580" s="144">
        <f>F581+F584</f>
        <v>13157</v>
      </c>
      <c r="G580" s="144">
        <f>G581+G584</f>
        <v>13065.866760000001</v>
      </c>
      <c r="H580" s="131">
        <f t="shared" si="122"/>
        <v>99.307340275138714</v>
      </c>
    </row>
    <row r="581" spans="1:8" ht="18.75" x14ac:dyDescent="0.2">
      <c r="A581" s="204" t="s">
        <v>871</v>
      </c>
      <c r="B581" s="141" t="s">
        <v>994</v>
      </c>
      <c r="C581" s="141" t="s">
        <v>1034</v>
      </c>
      <c r="D581" s="141" t="s">
        <v>403</v>
      </c>
      <c r="E581" s="141" t="s">
        <v>15</v>
      </c>
      <c r="F581" s="147">
        <f t="shared" ref="F581:G582" si="126">F582</f>
        <v>2432</v>
      </c>
      <c r="G581" s="147">
        <f t="shared" si="126"/>
        <v>2431.0938599999999</v>
      </c>
      <c r="H581" s="131">
        <f t="shared" si="122"/>
        <v>99.962740953947375</v>
      </c>
    </row>
    <row r="582" spans="1:8" ht="31.5" x14ac:dyDescent="0.2">
      <c r="A582" s="157" t="s">
        <v>17</v>
      </c>
      <c r="B582" s="141" t="s">
        <v>994</v>
      </c>
      <c r="C582" s="141" t="s">
        <v>1034</v>
      </c>
      <c r="D582" s="141" t="s">
        <v>403</v>
      </c>
      <c r="E582" s="141" t="s">
        <v>16</v>
      </c>
      <c r="F582" s="147">
        <f t="shared" si="126"/>
        <v>2432</v>
      </c>
      <c r="G582" s="147">
        <f t="shared" si="126"/>
        <v>2431.0938599999999</v>
      </c>
      <c r="H582" s="131">
        <f t="shared" si="122"/>
        <v>99.962740953947375</v>
      </c>
    </row>
    <row r="583" spans="1:8" s="82" customFormat="1" ht="18.75" hidden="1" x14ac:dyDescent="0.2">
      <c r="A583" s="3" t="s">
        <v>548</v>
      </c>
      <c r="B583" s="2" t="s">
        <v>994</v>
      </c>
      <c r="C583" s="2" t="s">
        <v>1034</v>
      </c>
      <c r="D583" s="2" t="s">
        <v>403</v>
      </c>
      <c r="E583" s="2" t="s">
        <v>67</v>
      </c>
      <c r="F583" s="10">
        <f>6627-1106+789-3416-92+1-371</f>
        <v>2432</v>
      </c>
      <c r="G583" s="10">
        <v>2431.0938599999999</v>
      </c>
      <c r="H583" s="97">
        <f t="shared" si="122"/>
        <v>99.962740953947375</v>
      </c>
    </row>
    <row r="584" spans="1:8" ht="31.5" x14ac:dyDescent="0.2">
      <c r="A584" s="157" t="s">
        <v>18</v>
      </c>
      <c r="B584" s="141" t="s">
        <v>994</v>
      </c>
      <c r="C584" s="141" t="s">
        <v>1034</v>
      </c>
      <c r="D584" s="141" t="s">
        <v>403</v>
      </c>
      <c r="E584" s="141" t="s">
        <v>20</v>
      </c>
      <c r="F584" s="147">
        <f>F585+F587</f>
        <v>10725</v>
      </c>
      <c r="G584" s="147">
        <f>G585+G587</f>
        <v>10634.7729</v>
      </c>
      <c r="H584" s="131">
        <f t="shared" si="122"/>
        <v>99.158721678321683</v>
      </c>
    </row>
    <row r="585" spans="1:8" ht="18.75" x14ac:dyDescent="0.2">
      <c r="A585" s="157" t="s">
        <v>24</v>
      </c>
      <c r="B585" s="141" t="s">
        <v>994</v>
      </c>
      <c r="C585" s="141" t="s">
        <v>1034</v>
      </c>
      <c r="D585" s="141" t="s">
        <v>403</v>
      </c>
      <c r="E585" s="141" t="s">
        <v>25</v>
      </c>
      <c r="F585" s="147">
        <f>F586</f>
        <v>8786</v>
      </c>
      <c r="G585" s="147">
        <f>G586</f>
        <v>8712.9617300000009</v>
      </c>
      <c r="H585" s="131">
        <f t="shared" si="122"/>
        <v>99.168697131800599</v>
      </c>
    </row>
    <row r="586" spans="1:8" s="82" customFormat="1" ht="18.75" hidden="1" x14ac:dyDescent="0.2">
      <c r="A586" s="28" t="s">
        <v>72</v>
      </c>
      <c r="B586" s="2" t="s">
        <v>994</v>
      </c>
      <c r="C586" s="2" t="s">
        <v>1034</v>
      </c>
      <c r="D586" s="2" t="s">
        <v>403</v>
      </c>
      <c r="E586" s="2" t="s">
        <v>73</v>
      </c>
      <c r="F586" s="10">
        <f>9429-417-162-64</f>
        <v>8786</v>
      </c>
      <c r="G586" s="10">
        <v>8712.9617300000009</v>
      </c>
      <c r="H586" s="97">
        <f t="shared" si="122"/>
        <v>99.168697131800599</v>
      </c>
    </row>
    <row r="587" spans="1:8" ht="18.75" x14ac:dyDescent="0.2">
      <c r="A587" s="157" t="s">
        <v>115</v>
      </c>
      <c r="B587" s="141" t="s">
        <v>994</v>
      </c>
      <c r="C587" s="141" t="s">
        <v>1034</v>
      </c>
      <c r="D587" s="141" t="s">
        <v>403</v>
      </c>
      <c r="E587" s="141" t="s">
        <v>21</v>
      </c>
      <c r="F587" s="147">
        <f>F588</f>
        <v>1939</v>
      </c>
      <c r="G587" s="147">
        <f>G588</f>
        <v>1921.8111699999999</v>
      </c>
      <c r="H587" s="131">
        <f t="shared" si="122"/>
        <v>99.113520887055188</v>
      </c>
    </row>
    <row r="588" spans="1:8" s="82" customFormat="1" ht="18.75" hidden="1" x14ac:dyDescent="0.2">
      <c r="A588" s="28" t="s">
        <v>74</v>
      </c>
      <c r="B588" s="2" t="s">
        <v>994</v>
      </c>
      <c r="C588" s="2" t="s">
        <v>1034</v>
      </c>
      <c r="D588" s="2" t="s">
        <v>403</v>
      </c>
      <c r="E588" s="2" t="s">
        <v>75</v>
      </c>
      <c r="F588" s="10">
        <f>3687-554-1157-37</f>
        <v>1939</v>
      </c>
      <c r="G588" s="10">
        <v>1921.8111699999999</v>
      </c>
      <c r="H588" s="97">
        <f t="shared" si="122"/>
        <v>99.113520887055188</v>
      </c>
    </row>
    <row r="589" spans="1:8" ht="18.75" x14ac:dyDescent="0.2">
      <c r="A589" s="140" t="s">
        <v>404</v>
      </c>
      <c r="B589" s="148" t="s">
        <v>994</v>
      </c>
      <c r="C589" s="148" t="s">
        <v>1034</v>
      </c>
      <c r="D589" s="148" t="s">
        <v>405</v>
      </c>
      <c r="E589" s="148"/>
      <c r="F589" s="144">
        <f t="shared" ref="F589:G591" si="127">F590</f>
        <v>900</v>
      </c>
      <c r="G589" s="144">
        <f t="shared" si="127"/>
        <v>900</v>
      </c>
      <c r="H589" s="131">
        <f t="shared" si="122"/>
        <v>100</v>
      </c>
    </row>
    <row r="590" spans="1:8" ht="31.5" x14ac:dyDescent="0.2">
      <c r="A590" s="157" t="s">
        <v>18</v>
      </c>
      <c r="B590" s="141" t="s">
        <v>994</v>
      </c>
      <c r="C590" s="141" t="s">
        <v>1034</v>
      </c>
      <c r="D590" s="141" t="s">
        <v>405</v>
      </c>
      <c r="E590" s="143" t="s">
        <v>20</v>
      </c>
      <c r="F590" s="147">
        <f t="shared" si="127"/>
        <v>900</v>
      </c>
      <c r="G590" s="147">
        <f t="shared" si="127"/>
        <v>900</v>
      </c>
      <c r="H590" s="131">
        <f t="shared" si="122"/>
        <v>100</v>
      </c>
    </row>
    <row r="591" spans="1:8" ht="31.5" x14ac:dyDescent="0.2">
      <c r="A591" s="157" t="s">
        <v>26</v>
      </c>
      <c r="B591" s="141" t="s">
        <v>994</v>
      </c>
      <c r="C591" s="141" t="s">
        <v>1034</v>
      </c>
      <c r="D591" s="141" t="s">
        <v>405</v>
      </c>
      <c r="E591" s="143" t="s">
        <v>0</v>
      </c>
      <c r="F591" s="147">
        <f t="shared" si="127"/>
        <v>900</v>
      </c>
      <c r="G591" s="147">
        <f t="shared" si="127"/>
        <v>900</v>
      </c>
      <c r="H591" s="131">
        <f t="shared" si="122"/>
        <v>100</v>
      </c>
    </row>
    <row r="592" spans="1:8" s="82" customFormat="1" ht="31.5" hidden="1" x14ac:dyDescent="0.2">
      <c r="A592" s="3" t="s">
        <v>875</v>
      </c>
      <c r="B592" s="2" t="s">
        <v>994</v>
      </c>
      <c r="C592" s="2" t="s">
        <v>1034</v>
      </c>
      <c r="D592" s="2" t="s">
        <v>405</v>
      </c>
      <c r="E592" s="33" t="s">
        <v>472</v>
      </c>
      <c r="F592" s="10">
        <v>900</v>
      </c>
      <c r="G592" s="10">
        <v>900</v>
      </c>
      <c r="H592" s="97">
        <f t="shared" si="122"/>
        <v>100</v>
      </c>
    </row>
    <row r="593" spans="1:11" ht="18.75" x14ac:dyDescent="0.2">
      <c r="A593" s="128" t="s">
        <v>1035</v>
      </c>
      <c r="B593" s="129" t="s">
        <v>999</v>
      </c>
      <c r="C593" s="129"/>
      <c r="D593" s="129"/>
      <c r="E593" s="129"/>
      <c r="F593" s="130">
        <f>F594+F609+F688</f>
        <v>1037524.1906300002</v>
      </c>
      <c r="G593" s="130">
        <f>G594+G609+G688</f>
        <v>952011.91060000006</v>
      </c>
      <c r="H593" s="131">
        <f t="shared" si="122"/>
        <v>91.75804469888304</v>
      </c>
      <c r="I593" s="96">
        <f>952011.9106-G593</f>
        <v>0</v>
      </c>
      <c r="K593" s="96">
        <f>952011.9106-G593</f>
        <v>0</v>
      </c>
    </row>
    <row r="594" spans="1:11" ht="18.75" x14ac:dyDescent="0.2">
      <c r="A594" s="132" t="s">
        <v>1036</v>
      </c>
      <c r="B594" s="133" t="s">
        <v>999</v>
      </c>
      <c r="C594" s="133" t="s">
        <v>1037</v>
      </c>
      <c r="D594" s="133"/>
      <c r="E594" s="133"/>
      <c r="F594" s="134">
        <f t="shared" ref="F594:G595" si="128">F595</f>
        <v>101494</v>
      </c>
      <c r="G594" s="134">
        <f t="shared" si="128"/>
        <v>93223.353000000003</v>
      </c>
      <c r="H594" s="131">
        <f t="shared" si="122"/>
        <v>91.851097601828684</v>
      </c>
    </row>
    <row r="595" spans="1:11" ht="31.5" x14ac:dyDescent="0.2">
      <c r="A595" s="132" t="s">
        <v>1038</v>
      </c>
      <c r="B595" s="133" t="s">
        <v>999</v>
      </c>
      <c r="C595" s="133" t="s">
        <v>1037</v>
      </c>
      <c r="D595" s="211" t="s">
        <v>141</v>
      </c>
      <c r="E595" s="211"/>
      <c r="F595" s="134">
        <f t="shared" si="128"/>
        <v>101494</v>
      </c>
      <c r="G595" s="134">
        <f t="shared" si="128"/>
        <v>93223.353000000003</v>
      </c>
      <c r="H595" s="131">
        <f t="shared" si="122"/>
        <v>91.851097601828684</v>
      </c>
    </row>
    <row r="596" spans="1:11" ht="31.5" x14ac:dyDescent="0.2">
      <c r="A596" s="132" t="s">
        <v>515</v>
      </c>
      <c r="B596" s="133" t="s">
        <v>999</v>
      </c>
      <c r="C596" s="133" t="s">
        <v>1037</v>
      </c>
      <c r="D596" s="211" t="s">
        <v>142</v>
      </c>
      <c r="E596" s="132"/>
      <c r="F596" s="134">
        <f>F601+F605+F597</f>
        <v>101494</v>
      </c>
      <c r="G596" s="134">
        <f>G601+G605+G597</f>
        <v>93223.353000000003</v>
      </c>
      <c r="H596" s="131">
        <f t="shared" si="122"/>
        <v>91.851097601828684</v>
      </c>
    </row>
    <row r="597" spans="1:11" ht="31.5" x14ac:dyDescent="0.2">
      <c r="A597" s="212" t="s">
        <v>151</v>
      </c>
      <c r="B597" s="213" t="s">
        <v>999</v>
      </c>
      <c r="C597" s="213" t="s">
        <v>1037</v>
      </c>
      <c r="D597" s="213" t="s">
        <v>872</v>
      </c>
      <c r="E597" s="214"/>
      <c r="F597" s="168">
        <f>F598</f>
        <v>83917</v>
      </c>
      <c r="G597" s="168">
        <f t="shared" ref="G597:G599" si="129">G598</f>
        <v>77218.365590000001</v>
      </c>
      <c r="H597" s="131">
        <f t="shared" si="122"/>
        <v>92.017547803186488</v>
      </c>
    </row>
    <row r="598" spans="1:11" ht="18.75" x14ac:dyDescent="0.2">
      <c r="A598" s="215" t="s">
        <v>871</v>
      </c>
      <c r="B598" s="216" t="s">
        <v>999</v>
      </c>
      <c r="C598" s="216" t="s">
        <v>1037</v>
      </c>
      <c r="D598" s="216" t="s">
        <v>872</v>
      </c>
      <c r="E598" s="217">
        <v>200</v>
      </c>
      <c r="F598" s="166">
        <f>F599</f>
        <v>83917</v>
      </c>
      <c r="G598" s="166">
        <f t="shared" si="129"/>
        <v>77218.365590000001</v>
      </c>
      <c r="H598" s="131">
        <f t="shared" si="122"/>
        <v>92.017547803186488</v>
      </c>
    </row>
    <row r="599" spans="1:11" ht="31.5" x14ac:dyDescent="0.2">
      <c r="A599" s="215" t="s">
        <v>17</v>
      </c>
      <c r="B599" s="216" t="s">
        <v>999</v>
      </c>
      <c r="C599" s="216" t="s">
        <v>1037</v>
      </c>
      <c r="D599" s="216" t="s">
        <v>872</v>
      </c>
      <c r="E599" s="217">
        <v>240</v>
      </c>
      <c r="F599" s="166">
        <f>F600</f>
        <v>83917</v>
      </c>
      <c r="G599" s="166">
        <f t="shared" si="129"/>
        <v>77218.365590000001</v>
      </c>
      <c r="H599" s="131">
        <f t="shared" si="122"/>
        <v>92.017547803186488</v>
      </c>
    </row>
    <row r="600" spans="1:11" s="82" customFormat="1" ht="18.75" hidden="1" x14ac:dyDescent="0.2">
      <c r="A600" s="53" t="s">
        <v>548</v>
      </c>
      <c r="B600" s="51" t="s">
        <v>999</v>
      </c>
      <c r="C600" s="51" t="s">
        <v>1037</v>
      </c>
      <c r="D600" s="51" t="s">
        <v>872</v>
      </c>
      <c r="E600" s="52">
        <v>244</v>
      </c>
      <c r="F600" s="36">
        <f>86458-2541</f>
        <v>83917</v>
      </c>
      <c r="G600" s="10">
        <v>77218.365590000001</v>
      </c>
      <c r="H600" s="97">
        <f t="shared" si="122"/>
        <v>92.017547803186488</v>
      </c>
    </row>
    <row r="601" spans="1:11" ht="31.5" x14ac:dyDescent="0.2">
      <c r="A601" s="140" t="s">
        <v>155</v>
      </c>
      <c r="B601" s="148" t="s">
        <v>999</v>
      </c>
      <c r="C601" s="148" t="s">
        <v>1037</v>
      </c>
      <c r="D601" s="148" t="s">
        <v>152</v>
      </c>
      <c r="E601" s="218"/>
      <c r="F601" s="144">
        <f t="shared" ref="F601:G603" si="130">F602</f>
        <v>2500</v>
      </c>
      <c r="G601" s="144">
        <f t="shared" si="130"/>
        <v>928.10275000000001</v>
      </c>
      <c r="H601" s="131">
        <f t="shared" si="122"/>
        <v>37.124110000000002</v>
      </c>
    </row>
    <row r="602" spans="1:11" ht="18.75" x14ac:dyDescent="0.2">
      <c r="A602" s="145" t="s">
        <v>871</v>
      </c>
      <c r="B602" s="141" t="s">
        <v>999</v>
      </c>
      <c r="C602" s="141" t="s">
        <v>1037</v>
      </c>
      <c r="D602" s="141" t="s">
        <v>152</v>
      </c>
      <c r="E602" s="219">
        <v>200</v>
      </c>
      <c r="F602" s="147">
        <f t="shared" si="130"/>
        <v>2500</v>
      </c>
      <c r="G602" s="147">
        <f t="shared" si="130"/>
        <v>928.10275000000001</v>
      </c>
      <c r="H602" s="131">
        <f t="shared" si="122"/>
        <v>37.124110000000002</v>
      </c>
    </row>
    <row r="603" spans="1:11" ht="31.5" x14ac:dyDescent="0.2">
      <c r="A603" s="145" t="s">
        <v>17</v>
      </c>
      <c r="B603" s="141" t="s">
        <v>999</v>
      </c>
      <c r="C603" s="141" t="s">
        <v>1037</v>
      </c>
      <c r="D603" s="141" t="s">
        <v>152</v>
      </c>
      <c r="E603" s="219">
        <v>240</v>
      </c>
      <c r="F603" s="147">
        <f t="shared" si="130"/>
        <v>2500</v>
      </c>
      <c r="G603" s="147">
        <f t="shared" si="130"/>
        <v>928.10275000000001</v>
      </c>
      <c r="H603" s="131">
        <f t="shared" si="122"/>
        <v>37.124110000000002</v>
      </c>
    </row>
    <row r="604" spans="1:11" s="82" customFormat="1" ht="18.75" hidden="1" x14ac:dyDescent="0.2">
      <c r="A604" s="3" t="s">
        <v>548</v>
      </c>
      <c r="B604" s="2" t="s">
        <v>999</v>
      </c>
      <c r="C604" s="2" t="s">
        <v>1037</v>
      </c>
      <c r="D604" s="2" t="s">
        <v>152</v>
      </c>
      <c r="E604" s="49">
        <v>244</v>
      </c>
      <c r="F604" s="10">
        <v>2500</v>
      </c>
      <c r="G604" s="10">
        <v>928.10275000000001</v>
      </c>
      <c r="H604" s="97">
        <f t="shared" si="122"/>
        <v>37.124110000000002</v>
      </c>
    </row>
    <row r="605" spans="1:11" ht="18.75" x14ac:dyDescent="0.2">
      <c r="A605" s="140" t="s">
        <v>153</v>
      </c>
      <c r="B605" s="148" t="s">
        <v>999</v>
      </c>
      <c r="C605" s="148" t="s">
        <v>1037</v>
      </c>
      <c r="D605" s="148" t="s">
        <v>154</v>
      </c>
      <c r="E605" s="218"/>
      <c r="F605" s="144">
        <f t="shared" ref="F605:G607" si="131">F606</f>
        <v>15077</v>
      </c>
      <c r="G605" s="144">
        <f t="shared" si="131"/>
        <v>15076.88466</v>
      </c>
      <c r="H605" s="131">
        <f t="shared" si="122"/>
        <v>99.999234993699005</v>
      </c>
    </row>
    <row r="606" spans="1:11" ht="18.75" x14ac:dyDescent="0.2">
      <c r="A606" s="145" t="s">
        <v>871</v>
      </c>
      <c r="B606" s="141" t="s">
        <v>999</v>
      </c>
      <c r="C606" s="141" t="s">
        <v>1037</v>
      </c>
      <c r="D606" s="141" t="s">
        <v>154</v>
      </c>
      <c r="E606" s="219">
        <v>200</v>
      </c>
      <c r="F606" s="147">
        <f t="shared" si="131"/>
        <v>15077</v>
      </c>
      <c r="G606" s="147">
        <f t="shared" si="131"/>
        <v>15076.88466</v>
      </c>
      <c r="H606" s="131">
        <f t="shared" si="122"/>
        <v>99.999234993699005</v>
      </c>
    </row>
    <row r="607" spans="1:11" ht="31.5" x14ac:dyDescent="0.2">
      <c r="A607" s="145" t="s">
        <v>17</v>
      </c>
      <c r="B607" s="141" t="s">
        <v>999</v>
      </c>
      <c r="C607" s="141" t="s">
        <v>1037</v>
      </c>
      <c r="D607" s="141" t="s">
        <v>154</v>
      </c>
      <c r="E607" s="219">
        <v>240</v>
      </c>
      <c r="F607" s="147">
        <f t="shared" si="131"/>
        <v>15077</v>
      </c>
      <c r="G607" s="147">
        <f t="shared" si="131"/>
        <v>15076.88466</v>
      </c>
      <c r="H607" s="131">
        <f t="shared" si="122"/>
        <v>99.999234993699005</v>
      </c>
    </row>
    <row r="608" spans="1:11" s="82" customFormat="1" ht="18.75" hidden="1" x14ac:dyDescent="0.2">
      <c r="A608" s="3" t="s">
        <v>548</v>
      </c>
      <c r="B608" s="2" t="s">
        <v>999</v>
      </c>
      <c r="C608" s="2" t="s">
        <v>1037</v>
      </c>
      <c r="D608" s="2" t="s">
        <v>154</v>
      </c>
      <c r="E608" s="49">
        <v>244</v>
      </c>
      <c r="F608" s="10">
        <f>13500+11767-10190</f>
        <v>15077</v>
      </c>
      <c r="G608" s="10">
        <v>15076.88466</v>
      </c>
      <c r="H608" s="97">
        <f t="shared" si="122"/>
        <v>99.999234993699005</v>
      </c>
    </row>
    <row r="609" spans="1:8" ht="18.75" x14ac:dyDescent="0.2">
      <c r="A609" s="132" t="s">
        <v>1039</v>
      </c>
      <c r="B609" s="133" t="s">
        <v>999</v>
      </c>
      <c r="C609" s="133" t="s">
        <v>1032</v>
      </c>
      <c r="D609" s="133"/>
      <c r="E609" s="133"/>
      <c r="F609" s="134">
        <f>F610+F673</f>
        <v>910069.1906300002</v>
      </c>
      <c r="G609" s="134">
        <f>G610+G673</f>
        <v>833071.89902000001</v>
      </c>
      <c r="H609" s="131">
        <f t="shared" si="122"/>
        <v>91.539402453927877</v>
      </c>
    </row>
    <row r="610" spans="1:8" ht="31.5" x14ac:dyDescent="0.2">
      <c r="A610" s="132" t="s">
        <v>1038</v>
      </c>
      <c r="B610" s="133" t="s">
        <v>999</v>
      </c>
      <c r="C610" s="133" t="s">
        <v>1032</v>
      </c>
      <c r="D610" s="133" t="s">
        <v>141</v>
      </c>
      <c r="E610" s="133"/>
      <c r="F610" s="134">
        <f>F611+F664</f>
        <v>849322.30963000015</v>
      </c>
      <c r="G610" s="134">
        <f>G611+G664</f>
        <v>775446.76240999997</v>
      </c>
      <c r="H610" s="131">
        <f t="shared" ref="H610:H665" si="132">G610/F610*100</f>
        <v>91.30182424476952</v>
      </c>
    </row>
    <row r="611" spans="1:8" ht="31.5" x14ac:dyDescent="0.2">
      <c r="A611" s="132" t="s">
        <v>516</v>
      </c>
      <c r="B611" s="133" t="s">
        <v>999</v>
      </c>
      <c r="C611" s="133" t="s">
        <v>1032</v>
      </c>
      <c r="D611" s="133" t="s">
        <v>143</v>
      </c>
      <c r="E611" s="211"/>
      <c r="F611" s="134">
        <f>F612+F616+F620+F624+F628+F632+F636+F640+F644+F648+F652+F656+F660</f>
        <v>809422.73663000017</v>
      </c>
      <c r="G611" s="134">
        <f>G612+G616+G620+G624+G628+G632+G636+G640+G644+G648+G652+G656+G660</f>
        <v>736646.51506999996</v>
      </c>
      <c r="H611" s="131">
        <f t="shared" si="132"/>
        <v>91.008873575382736</v>
      </c>
    </row>
    <row r="612" spans="1:8" ht="18.75" x14ac:dyDescent="0.2">
      <c r="A612" s="140" t="s">
        <v>118</v>
      </c>
      <c r="B612" s="148" t="s">
        <v>999</v>
      </c>
      <c r="C612" s="148" t="s">
        <v>1032</v>
      </c>
      <c r="D612" s="148" t="s">
        <v>144</v>
      </c>
      <c r="E612" s="218"/>
      <c r="F612" s="144">
        <f t="shared" ref="F612:G614" si="133">F613</f>
        <v>238729.76400000002</v>
      </c>
      <c r="G612" s="144">
        <f t="shared" si="133"/>
        <v>203429.21017999999</v>
      </c>
      <c r="H612" s="131">
        <f t="shared" si="132"/>
        <v>85.213174415905669</v>
      </c>
    </row>
    <row r="613" spans="1:8" ht="18.75" x14ac:dyDescent="0.2">
      <c r="A613" s="150" t="s">
        <v>871</v>
      </c>
      <c r="B613" s="141" t="s">
        <v>999</v>
      </c>
      <c r="C613" s="141" t="s">
        <v>1032</v>
      </c>
      <c r="D613" s="141" t="s">
        <v>144</v>
      </c>
      <c r="E613" s="219">
        <v>200</v>
      </c>
      <c r="F613" s="147">
        <f t="shared" si="133"/>
        <v>238729.76400000002</v>
      </c>
      <c r="G613" s="147">
        <f t="shared" si="133"/>
        <v>203429.21017999999</v>
      </c>
      <c r="H613" s="131">
        <f t="shared" si="132"/>
        <v>85.213174415905669</v>
      </c>
    </row>
    <row r="614" spans="1:8" ht="31.5" x14ac:dyDescent="0.2">
      <c r="A614" s="150" t="s">
        <v>17</v>
      </c>
      <c r="B614" s="141" t="s">
        <v>999</v>
      </c>
      <c r="C614" s="141" t="s">
        <v>1032</v>
      </c>
      <c r="D614" s="141" t="s">
        <v>144</v>
      </c>
      <c r="E614" s="219">
        <v>240</v>
      </c>
      <c r="F614" s="147">
        <f t="shared" si="133"/>
        <v>238729.76400000002</v>
      </c>
      <c r="G614" s="147">
        <f>G615</f>
        <v>203429.21017999999</v>
      </c>
      <c r="H614" s="131">
        <f t="shared" si="132"/>
        <v>85.213174415905669</v>
      </c>
    </row>
    <row r="615" spans="1:8" s="82" customFormat="1" ht="18.75" hidden="1" x14ac:dyDescent="0.2">
      <c r="A615" s="3" t="s">
        <v>548</v>
      </c>
      <c r="B615" s="2" t="s">
        <v>999</v>
      </c>
      <c r="C615" s="2" t="s">
        <v>1032</v>
      </c>
      <c r="D615" s="2" t="s">
        <v>144</v>
      </c>
      <c r="E615" s="49">
        <v>244</v>
      </c>
      <c r="F615" s="10">
        <f>199678-9000+17000+3956-52.5-6184.3+23796+7836.564+1700</f>
        <v>238729.76400000002</v>
      </c>
      <c r="G615" s="10">
        <v>203429.21017999999</v>
      </c>
      <c r="H615" s="97">
        <f t="shared" si="132"/>
        <v>85.213174415905669</v>
      </c>
    </row>
    <row r="616" spans="1:8" ht="18.75" x14ac:dyDescent="0.2">
      <c r="A616" s="140" t="s">
        <v>619</v>
      </c>
      <c r="B616" s="148" t="s">
        <v>999</v>
      </c>
      <c r="C616" s="148" t="s">
        <v>1032</v>
      </c>
      <c r="D616" s="148" t="s">
        <v>146</v>
      </c>
      <c r="E616" s="219"/>
      <c r="F616" s="147">
        <f t="shared" ref="F616:G618" si="134">F617</f>
        <v>87694.994000000006</v>
      </c>
      <c r="G616" s="147">
        <f t="shared" si="134"/>
        <v>85257.585359999997</v>
      </c>
      <c r="H616" s="131">
        <f t="shared" si="132"/>
        <v>97.220584062073129</v>
      </c>
    </row>
    <row r="617" spans="1:8" ht="18.75" x14ac:dyDescent="0.2">
      <c r="A617" s="150" t="s">
        <v>871</v>
      </c>
      <c r="B617" s="141" t="s">
        <v>999</v>
      </c>
      <c r="C617" s="141" t="s">
        <v>1032</v>
      </c>
      <c r="D617" s="141" t="s">
        <v>146</v>
      </c>
      <c r="E617" s="219">
        <v>200</v>
      </c>
      <c r="F617" s="147">
        <f t="shared" si="134"/>
        <v>87694.994000000006</v>
      </c>
      <c r="G617" s="147">
        <f t="shared" si="134"/>
        <v>85257.585359999997</v>
      </c>
      <c r="H617" s="131">
        <f t="shared" si="132"/>
        <v>97.220584062073129</v>
      </c>
    </row>
    <row r="618" spans="1:8" ht="31.5" x14ac:dyDescent="0.2">
      <c r="A618" s="150" t="s">
        <v>17</v>
      </c>
      <c r="B618" s="141" t="s">
        <v>999</v>
      </c>
      <c r="C618" s="141" t="s">
        <v>1032</v>
      </c>
      <c r="D618" s="141" t="s">
        <v>146</v>
      </c>
      <c r="E618" s="219">
        <v>240</v>
      </c>
      <c r="F618" s="147">
        <f t="shared" si="134"/>
        <v>87694.994000000006</v>
      </c>
      <c r="G618" s="147">
        <f t="shared" si="134"/>
        <v>85257.585359999997</v>
      </c>
      <c r="H618" s="131">
        <f t="shared" si="132"/>
        <v>97.220584062073129</v>
      </c>
    </row>
    <row r="619" spans="1:8" s="82" customFormat="1" ht="18.75" hidden="1" x14ac:dyDescent="0.2">
      <c r="A619" s="3" t="s">
        <v>548</v>
      </c>
      <c r="B619" s="2" t="s">
        <v>999</v>
      </c>
      <c r="C619" s="2" t="s">
        <v>1032</v>
      </c>
      <c r="D619" s="2" t="s">
        <v>146</v>
      </c>
      <c r="E619" s="49">
        <v>244</v>
      </c>
      <c r="F619" s="10">
        <f>40000-7638+34376-3850+13500-3000-1217+16023.99-500+0.004</f>
        <v>87694.994000000006</v>
      </c>
      <c r="G619" s="10">
        <v>85257.585359999997</v>
      </c>
      <c r="H619" s="97">
        <f t="shared" si="132"/>
        <v>97.220584062073129</v>
      </c>
    </row>
    <row r="620" spans="1:8" ht="18.75" x14ac:dyDescent="0.2">
      <c r="A620" s="140" t="s">
        <v>294</v>
      </c>
      <c r="B620" s="148" t="s">
        <v>999</v>
      </c>
      <c r="C620" s="148" t="s">
        <v>1032</v>
      </c>
      <c r="D620" s="148" t="s">
        <v>295</v>
      </c>
      <c r="E620" s="148"/>
      <c r="F620" s="144">
        <f t="shared" ref="F620:G622" si="135">F621</f>
        <v>10946.433000000001</v>
      </c>
      <c r="G620" s="144">
        <f t="shared" si="135"/>
        <v>10942.182940000001</v>
      </c>
      <c r="H620" s="131">
        <f t="shared" si="132"/>
        <v>99.961174018970382</v>
      </c>
    </row>
    <row r="621" spans="1:8" ht="18.75" x14ac:dyDescent="0.2">
      <c r="A621" s="150" t="s">
        <v>871</v>
      </c>
      <c r="B621" s="141" t="s">
        <v>999</v>
      </c>
      <c r="C621" s="141" t="s">
        <v>1032</v>
      </c>
      <c r="D621" s="141" t="s">
        <v>295</v>
      </c>
      <c r="E621" s="219">
        <v>200</v>
      </c>
      <c r="F621" s="147">
        <f t="shared" si="135"/>
        <v>10946.433000000001</v>
      </c>
      <c r="G621" s="147">
        <f t="shared" si="135"/>
        <v>10942.182940000001</v>
      </c>
      <c r="H621" s="131">
        <f t="shared" si="132"/>
        <v>99.961174018970382</v>
      </c>
    </row>
    <row r="622" spans="1:8" ht="31.5" x14ac:dyDescent="0.2">
      <c r="A622" s="150" t="s">
        <v>17</v>
      </c>
      <c r="B622" s="141" t="s">
        <v>999</v>
      </c>
      <c r="C622" s="141" t="s">
        <v>1032</v>
      </c>
      <c r="D622" s="141" t="s">
        <v>295</v>
      </c>
      <c r="E622" s="219">
        <v>240</v>
      </c>
      <c r="F622" s="147">
        <f t="shared" si="135"/>
        <v>10946.433000000001</v>
      </c>
      <c r="G622" s="147">
        <f t="shared" si="135"/>
        <v>10942.182940000001</v>
      </c>
      <c r="H622" s="131">
        <f t="shared" si="132"/>
        <v>99.961174018970382</v>
      </c>
    </row>
    <row r="623" spans="1:8" s="82" customFormat="1" ht="18.75" hidden="1" x14ac:dyDescent="0.2">
      <c r="A623" s="3" t="s">
        <v>548</v>
      </c>
      <c r="B623" s="2" t="s">
        <v>999</v>
      </c>
      <c r="C623" s="2" t="s">
        <v>1032</v>
      </c>
      <c r="D623" s="2" t="s">
        <v>295</v>
      </c>
      <c r="E623" s="49">
        <v>244</v>
      </c>
      <c r="F623" s="10">
        <f>5000-350+3850+3066.433-620</f>
        <v>10946.433000000001</v>
      </c>
      <c r="G623" s="10">
        <v>10942.182940000001</v>
      </c>
      <c r="H623" s="97">
        <f t="shared" si="132"/>
        <v>99.961174018970382</v>
      </c>
    </row>
    <row r="624" spans="1:8" ht="18.75" x14ac:dyDescent="0.2">
      <c r="A624" s="140" t="s">
        <v>518</v>
      </c>
      <c r="B624" s="148" t="s">
        <v>999</v>
      </c>
      <c r="C624" s="148" t="s">
        <v>1032</v>
      </c>
      <c r="D624" s="148" t="s">
        <v>519</v>
      </c>
      <c r="E624" s="218"/>
      <c r="F624" s="144">
        <f t="shared" ref="F624:G626" si="136">F625</f>
        <v>2568</v>
      </c>
      <c r="G624" s="144">
        <f t="shared" si="136"/>
        <v>2567.3759100000002</v>
      </c>
      <c r="H624" s="131">
        <f t="shared" si="132"/>
        <v>99.975697429906546</v>
      </c>
    </row>
    <row r="625" spans="1:8" ht="31.5" x14ac:dyDescent="0.2">
      <c r="A625" s="162" t="s">
        <v>493</v>
      </c>
      <c r="B625" s="141" t="s">
        <v>999</v>
      </c>
      <c r="C625" s="141" t="s">
        <v>1032</v>
      </c>
      <c r="D625" s="141" t="s">
        <v>519</v>
      </c>
      <c r="E625" s="219">
        <v>400</v>
      </c>
      <c r="F625" s="147">
        <f t="shared" si="136"/>
        <v>2568</v>
      </c>
      <c r="G625" s="147">
        <f t="shared" si="136"/>
        <v>2567.3759100000002</v>
      </c>
      <c r="H625" s="131">
        <f t="shared" si="132"/>
        <v>99.975697429906546</v>
      </c>
    </row>
    <row r="626" spans="1:8" ht="18.75" x14ac:dyDescent="0.2">
      <c r="A626" s="162" t="s">
        <v>33</v>
      </c>
      <c r="B626" s="141" t="s">
        <v>999</v>
      </c>
      <c r="C626" s="141" t="s">
        <v>1032</v>
      </c>
      <c r="D626" s="141" t="s">
        <v>519</v>
      </c>
      <c r="E626" s="219">
        <v>410</v>
      </c>
      <c r="F626" s="147">
        <f t="shared" si="136"/>
        <v>2568</v>
      </c>
      <c r="G626" s="147">
        <f t="shared" si="136"/>
        <v>2567.3759100000002</v>
      </c>
      <c r="H626" s="131">
        <f t="shared" si="132"/>
        <v>99.975697429906546</v>
      </c>
    </row>
    <row r="627" spans="1:8" s="82" customFormat="1" ht="31.5" hidden="1" x14ac:dyDescent="0.2">
      <c r="A627" s="27" t="s">
        <v>84</v>
      </c>
      <c r="B627" s="2" t="s">
        <v>999</v>
      </c>
      <c r="C627" s="2" t="s">
        <v>1032</v>
      </c>
      <c r="D627" s="2" t="s">
        <v>519</v>
      </c>
      <c r="E627" s="49">
        <v>414</v>
      </c>
      <c r="F627" s="10">
        <f>50000-10000-9650-3650-24132</f>
        <v>2568</v>
      </c>
      <c r="G627" s="10">
        <v>2567.3759100000002</v>
      </c>
      <c r="H627" s="97">
        <f t="shared" si="132"/>
        <v>99.975697429906546</v>
      </c>
    </row>
    <row r="628" spans="1:8" ht="18.75" x14ac:dyDescent="0.2">
      <c r="A628" s="140" t="s">
        <v>765</v>
      </c>
      <c r="B628" s="148" t="s">
        <v>999</v>
      </c>
      <c r="C628" s="148" t="s">
        <v>1032</v>
      </c>
      <c r="D628" s="148" t="s">
        <v>766</v>
      </c>
      <c r="E628" s="218"/>
      <c r="F628" s="144">
        <f t="shared" ref="F628:G630" si="137">F629</f>
        <v>61099</v>
      </c>
      <c r="G628" s="144">
        <f t="shared" si="137"/>
        <v>49746.534140000003</v>
      </c>
      <c r="H628" s="131">
        <f t="shared" si="132"/>
        <v>81.419555377338426</v>
      </c>
    </row>
    <row r="629" spans="1:8" ht="31.5" x14ac:dyDescent="0.2">
      <c r="A629" s="162" t="s">
        <v>493</v>
      </c>
      <c r="B629" s="141" t="s">
        <v>999</v>
      </c>
      <c r="C629" s="141" t="s">
        <v>1032</v>
      </c>
      <c r="D629" s="141" t="s">
        <v>766</v>
      </c>
      <c r="E629" s="219">
        <v>400</v>
      </c>
      <c r="F629" s="147">
        <f t="shared" si="137"/>
        <v>61099</v>
      </c>
      <c r="G629" s="147">
        <f t="shared" si="137"/>
        <v>49746.534140000003</v>
      </c>
      <c r="H629" s="131">
        <f t="shared" si="132"/>
        <v>81.419555377338426</v>
      </c>
    </row>
    <row r="630" spans="1:8" ht="18.75" x14ac:dyDescent="0.2">
      <c r="A630" s="162" t="s">
        <v>33</v>
      </c>
      <c r="B630" s="141" t="s">
        <v>999</v>
      </c>
      <c r="C630" s="141" t="s">
        <v>1032</v>
      </c>
      <c r="D630" s="141" t="s">
        <v>766</v>
      </c>
      <c r="E630" s="219">
        <v>410</v>
      </c>
      <c r="F630" s="147">
        <f t="shared" si="137"/>
        <v>61099</v>
      </c>
      <c r="G630" s="147">
        <f t="shared" si="137"/>
        <v>49746.534140000003</v>
      </c>
      <c r="H630" s="131">
        <f t="shared" si="132"/>
        <v>81.419555377338426</v>
      </c>
    </row>
    <row r="631" spans="1:8" s="82" customFormat="1" ht="31.5" hidden="1" x14ac:dyDescent="0.2">
      <c r="A631" s="27" t="s">
        <v>84</v>
      </c>
      <c r="B631" s="2" t="s">
        <v>999</v>
      </c>
      <c r="C631" s="2" t="s">
        <v>1032</v>
      </c>
      <c r="D631" s="2" t="s">
        <v>766</v>
      </c>
      <c r="E631" s="49">
        <v>414</v>
      </c>
      <c r="F631" s="10">
        <f>1414+50255+9430</f>
        <v>61099</v>
      </c>
      <c r="G631" s="10">
        <v>49746.534140000003</v>
      </c>
      <c r="H631" s="97">
        <f t="shared" si="132"/>
        <v>81.419555377338426</v>
      </c>
    </row>
    <row r="632" spans="1:8" ht="31.5" x14ac:dyDescent="0.2">
      <c r="A632" s="140" t="s">
        <v>520</v>
      </c>
      <c r="B632" s="148" t="s">
        <v>999</v>
      </c>
      <c r="C632" s="148" t="s">
        <v>1032</v>
      </c>
      <c r="D632" s="148" t="s">
        <v>521</v>
      </c>
      <c r="E632" s="218"/>
      <c r="F632" s="144">
        <f t="shared" ref="F632:G634" si="138">F633</f>
        <v>125000</v>
      </c>
      <c r="G632" s="144">
        <f t="shared" si="138"/>
        <v>125000</v>
      </c>
      <c r="H632" s="131">
        <f t="shared" si="132"/>
        <v>100</v>
      </c>
    </row>
    <row r="633" spans="1:8" ht="31.5" x14ac:dyDescent="0.2">
      <c r="A633" s="157" t="s">
        <v>18</v>
      </c>
      <c r="B633" s="141" t="s">
        <v>999</v>
      </c>
      <c r="C633" s="141" t="s">
        <v>1032</v>
      </c>
      <c r="D633" s="141" t="s">
        <v>521</v>
      </c>
      <c r="E633" s="219">
        <v>600</v>
      </c>
      <c r="F633" s="147">
        <f t="shared" si="138"/>
        <v>125000</v>
      </c>
      <c r="G633" s="147">
        <f t="shared" si="138"/>
        <v>125000</v>
      </c>
      <c r="H633" s="131">
        <f t="shared" si="132"/>
        <v>100</v>
      </c>
    </row>
    <row r="634" spans="1:8" ht="18.75" x14ac:dyDescent="0.2">
      <c r="A634" s="162" t="s">
        <v>24</v>
      </c>
      <c r="B634" s="141" t="s">
        <v>999</v>
      </c>
      <c r="C634" s="141" t="s">
        <v>1032</v>
      </c>
      <c r="D634" s="141" t="s">
        <v>521</v>
      </c>
      <c r="E634" s="219">
        <v>610</v>
      </c>
      <c r="F634" s="147">
        <f t="shared" si="138"/>
        <v>125000</v>
      </c>
      <c r="G634" s="147">
        <f t="shared" si="138"/>
        <v>125000</v>
      </c>
      <c r="H634" s="131">
        <f t="shared" si="132"/>
        <v>100</v>
      </c>
    </row>
    <row r="635" spans="1:8" s="82" customFormat="1" ht="47.25" hidden="1" x14ac:dyDescent="0.2">
      <c r="A635" s="28" t="s">
        <v>88</v>
      </c>
      <c r="B635" s="2" t="s">
        <v>999</v>
      </c>
      <c r="C635" s="2" t="s">
        <v>1032</v>
      </c>
      <c r="D635" s="2" t="s">
        <v>521</v>
      </c>
      <c r="E635" s="49">
        <v>611</v>
      </c>
      <c r="F635" s="10">
        <f>150000-25000</f>
        <v>125000</v>
      </c>
      <c r="G635" s="10">
        <v>125000</v>
      </c>
      <c r="H635" s="97">
        <f t="shared" si="132"/>
        <v>100</v>
      </c>
    </row>
    <row r="636" spans="1:8" ht="18.75" x14ac:dyDescent="0.2">
      <c r="A636" s="140" t="s">
        <v>525</v>
      </c>
      <c r="B636" s="148" t="s">
        <v>999</v>
      </c>
      <c r="C636" s="148" t="s">
        <v>1032</v>
      </c>
      <c r="D636" s="148" t="s">
        <v>522</v>
      </c>
      <c r="E636" s="218"/>
      <c r="F636" s="144">
        <f t="shared" ref="F636:G638" si="139">F637</f>
        <v>11470.938</v>
      </c>
      <c r="G636" s="144">
        <f t="shared" si="139"/>
        <v>11470.156419999999</v>
      </c>
      <c r="H636" s="131">
        <f t="shared" si="132"/>
        <v>99.993186433402386</v>
      </c>
    </row>
    <row r="637" spans="1:8" ht="31.5" x14ac:dyDescent="0.2">
      <c r="A637" s="157" t="s">
        <v>18</v>
      </c>
      <c r="B637" s="141" t="s">
        <v>999</v>
      </c>
      <c r="C637" s="141" t="s">
        <v>1032</v>
      </c>
      <c r="D637" s="141" t="s">
        <v>522</v>
      </c>
      <c r="E637" s="219">
        <v>600</v>
      </c>
      <c r="F637" s="147">
        <f t="shared" si="139"/>
        <v>11470.938</v>
      </c>
      <c r="G637" s="147">
        <f t="shared" si="139"/>
        <v>11470.156419999999</v>
      </c>
      <c r="H637" s="131">
        <f t="shared" si="132"/>
        <v>99.993186433402386</v>
      </c>
    </row>
    <row r="638" spans="1:8" ht="18.75" x14ac:dyDescent="0.2">
      <c r="A638" s="162" t="s">
        <v>24</v>
      </c>
      <c r="B638" s="141" t="s">
        <v>999</v>
      </c>
      <c r="C638" s="141" t="s">
        <v>1032</v>
      </c>
      <c r="D638" s="141" t="s">
        <v>522</v>
      </c>
      <c r="E638" s="219">
        <v>610</v>
      </c>
      <c r="F638" s="147">
        <f t="shared" si="139"/>
        <v>11470.938</v>
      </c>
      <c r="G638" s="147">
        <f t="shared" si="139"/>
        <v>11470.156419999999</v>
      </c>
      <c r="H638" s="131">
        <f t="shared" si="132"/>
        <v>99.993186433402386</v>
      </c>
    </row>
    <row r="639" spans="1:8" s="82" customFormat="1" ht="18.75" hidden="1" x14ac:dyDescent="0.2">
      <c r="A639" s="27" t="s">
        <v>72</v>
      </c>
      <c r="B639" s="2" t="s">
        <v>999</v>
      </c>
      <c r="C639" s="2" t="s">
        <v>1032</v>
      </c>
      <c r="D639" s="2" t="s">
        <v>522</v>
      </c>
      <c r="E639" s="49">
        <v>612</v>
      </c>
      <c r="F639" s="10">
        <f>16741-2000-3067-203.062</f>
        <v>11470.938</v>
      </c>
      <c r="G639" s="10">
        <v>11470.156419999999</v>
      </c>
      <c r="H639" s="97">
        <f t="shared" si="132"/>
        <v>99.993186433402386</v>
      </c>
    </row>
    <row r="640" spans="1:8" ht="47.25" x14ac:dyDescent="0.2">
      <c r="A640" s="155" t="s">
        <v>526</v>
      </c>
      <c r="B640" s="148" t="s">
        <v>999</v>
      </c>
      <c r="C640" s="148" t="s">
        <v>1032</v>
      </c>
      <c r="D640" s="148" t="s">
        <v>527</v>
      </c>
      <c r="E640" s="218"/>
      <c r="F640" s="144">
        <f t="shared" ref="F640:G642" si="140">F641</f>
        <v>7479.5450000000001</v>
      </c>
      <c r="G640" s="144">
        <f t="shared" si="140"/>
        <v>7479.5189099999998</v>
      </c>
      <c r="H640" s="131">
        <f t="shared" si="132"/>
        <v>99.999651181990345</v>
      </c>
    </row>
    <row r="641" spans="1:8" ht="31.5" x14ac:dyDescent="0.2">
      <c r="A641" s="157" t="s">
        <v>18</v>
      </c>
      <c r="B641" s="141" t="s">
        <v>999</v>
      </c>
      <c r="C641" s="141" t="s">
        <v>1032</v>
      </c>
      <c r="D641" s="141" t="s">
        <v>527</v>
      </c>
      <c r="E641" s="219">
        <v>600</v>
      </c>
      <c r="F641" s="147">
        <f t="shared" si="140"/>
        <v>7479.5450000000001</v>
      </c>
      <c r="G641" s="147">
        <f t="shared" si="140"/>
        <v>7479.5189099999998</v>
      </c>
      <c r="H641" s="131">
        <f t="shared" si="132"/>
        <v>99.999651181990345</v>
      </c>
    </row>
    <row r="642" spans="1:8" ht="18.75" x14ac:dyDescent="0.2">
      <c r="A642" s="162" t="s">
        <v>24</v>
      </c>
      <c r="B642" s="141" t="s">
        <v>999</v>
      </c>
      <c r="C642" s="141" t="s">
        <v>1032</v>
      </c>
      <c r="D642" s="141" t="s">
        <v>527</v>
      </c>
      <c r="E642" s="219">
        <v>610</v>
      </c>
      <c r="F642" s="147">
        <f t="shared" si="140"/>
        <v>7479.5450000000001</v>
      </c>
      <c r="G642" s="147">
        <f t="shared" si="140"/>
        <v>7479.5189099999998</v>
      </c>
      <c r="H642" s="131">
        <f t="shared" si="132"/>
        <v>99.999651181990345</v>
      </c>
    </row>
    <row r="643" spans="1:8" s="82" customFormat="1" ht="18.75" hidden="1" x14ac:dyDescent="0.2">
      <c r="A643" s="27" t="s">
        <v>72</v>
      </c>
      <c r="B643" s="2" t="s">
        <v>999</v>
      </c>
      <c r="C643" s="2" t="s">
        <v>1032</v>
      </c>
      <c r="D643" s="2" t="s">
        <v>527</v>
      </c>
      <c r="E643" s="49">
        <v>612</v>
      </c>
      <c r="F643" s="10">
        <f>16100-3000-3275-2345.455</f>
        <v>7479.5450000000001</v>
      </c>
      <c r="G643" s="10">
        <v>7479.5189099999998</v>
      </c>
      <c r="H643" s="97">
        <f t="shared" si="132"/>
        <v>99.999651181990345</v>
      </c>
    </row>
    <row r="644" spans="1:8" ht="18.75" x14ac:dyDescent="0.2">
      <c r="A644" s="140" t="s">
        <v>714</v>
      </c>
      <c r="B644" s="148" t="s">
        <v>999</v>
      </c>
      <c r="C644" s="148" t="s">
        <v>1032</v>
      </c>
      <c r="D644" s="148" t="s">
        <v>616</v>
      </c>
      <c r="E644" s="218"/>
      <c r="F644" s="156">
        <f>F645</f>
        <v>180</v>
      </c>
      <c r="G644" s="156">
        <f t="shared" ref="G644:G646" si="141">G645</f>
        <v>170.05346</v>
      </c>
      <c r="H644" s="131">
        <f t="shared" si="132"/>
        <v>94.474144444444448</v>
      </c>
    </row>
    <row r="645" spans="1:8" ht="31.5" x14ac:dyDescent="0.2">
      <c r="A645" s="145" t="s">
        <v>18</v>
      </c>
      <c r="B645" s="141" t="s">
        <v>999</v>
      </c>
      <c r="C645" s="141" t="s">
        <v>1032</v>
      </c>
      <c r="D645" s="141" t="s">
        <v>616</v>
      </c>
      <c r="E645" s="219">
        <v>600</v>
      </c>
      <c r="F645" s="158">
        <f>F646</f>
        <v>180</v>
      </c>
      <c r="G645" s="158">
        <f t="shared" si="141"/>
        <v>170.05346</v>
      </c>
      <c r="H645" s="131">
        <f t="shared" si="132"/>
        <v>94.474144444444448</v>
      </c>
    </row>
    <row r="646" spans="1:8" ht="18.75" x14ac:dyDescent="0.2">
      <c r="A646" s="150" t="s">
        <v>24</v>
      </c>
      <c r="B646" s="141" t="s">
        <v>999</v>
      </c>
      <c r="C646" s="141" t="s">
        <v>1032</v>
      </c>
      <c r="D646" s="141" t="s">
        <v>616</v>
      </c>
      <c r="E646" s="219">
        <v>610</v>
      </c>
      <c r="F646" s="158">
        <f>F647</f>
        <v>180</v>
      </c>
      <c r="G646" s="158">
        <f t="shared" si="141"/>
        <v>170.05346</v>
      </c>
      <c r="H646" s="131">
        <f t="shared" si="132"/>
        <v>94.474144444444448</v>
      </c>
    </row>
    <row r="647" spans="1:8" s="82" customFormat="1" ht="18.75" hidden="1" x14ac:dyDescent="0.2">
      <c r="A647" s="19" t="s">
        <v>72</v>
      </c>
      <c r="B647" s="2" t="s">
        <v>999</v>
      </c>
      <c r="C647" s="2" t="s">
        <v>1032</v>
      </c>
      <c r="D647" s="2" t="s">
        <v>616</v>
      </c>
      <c r="E647" s="49">
        <v>612</v>
      </c>
      <c r="F647" s="14">
        <f>1500-75-1245</f>
        <v>180</v>
      </c>
      <c r="G647" s="10">
        <v>170.05346</v>
      </c>
      <c r="H647" s="97">
        <f t="shared" si="132"/>
        <v>94.474144444444448</v>
      </c>
    </row>
    <row r="648" spans="1:8" ht="18.75" x14ac:dyDescent="0.2">
      <c r="A648" s="212" t="s">
        <v>785</v>
      </c>
      <c r="B648" s="148" t="s">
        <v>999</v>
      </c>
      <c r="C648" s="148" t="s">
        <v>1032</v>
      </c>
      <c r="D648" s="148" t="s">
        <v>620</v>
      </c>
      <c r="E648" s="218"/>
      <c r="F648" s="156">
        <f t="shared" ref="F648:G650" si="142">F649</f>
        <v>21548</v>
      </c>
      <c r="G648" s="156">
        <f t="shared" si="142"/>
        <v>21547.499690000001</v>
      </c>
      <c r="H648" s="131">
        <f t="shared" si="132"/>
        <v>99.997678160386116</v>
      </c>
    </row>
    <row r="649" spans="1:8" ht="18.75" x14ac:dyDescent="0.2">
      <c r="A649" s="220" t="s">
        <v>871</v>
      </c>
      <c r="B649" s="216" t="s">
        <v>999</v>
      </c>
      <c r="C649" s="216" t="s">
        <v>1032</v>
      </c>
      <c r="D649" s="216" t="s">
        <v>620</v>
      </c>
      <c r="E649" s="217">
        <v>200</v>
      </c>
      <c r="F649" s="166">
        <f t="shared" si="142"/>
        <v>21548</v>
      </c>
      <c r="G649" s="166">
        <f t="shared" si="142"/>
        <v>21547.499690000001</v>
      </c>
      <c r="H649" s="131">
        <f t="shared" si="132"/>
        <v>99.997678160386116</v>
      </c>
    </row>
    <row r="650" spans="1:8" ht="31.5" x14ac:dyDescent="0.2">
      <c r="A650" s="220" t="s">
        <v>17</v>
      </c>
      <c r="B650" s="216" t="s">
        <v>999</v>
      </c>
      <c r="C650" s="216" t="s">
        <v>1032</v>
      </c>
      <c r="D650" s="216" t="s">
        <v>620</v>
      </c>
      <c r="E650" s="217">
        <v>240</v>
      </c>
      <c r="F650" s="166">
        <f t="shared" si="142"/>
        <v>21548</v>
      </c>
      <c r="G650" s="166">
        <f t="shared" si="142"/>
        <v>21547.499690000001</v>
      </c>
      <c r="H650" s="131">
        <f t="shared" si="132"/>
        <v>99.997678160386116</v>
      </c>
    </row>
    <row r="651" spans="1:8" s="82" customFormat="1" ht="18.75" hidden="1" x14ac:dyDescent="0.2">
      <c r="A651" s="53" t="s">
        <v>548</v>
      </c>
      <c r="B651" s="51" t="s">
        <v>999</v>
      </c>
      <c r="C651" s="51" t="s">
        <v>1032</v>
      </c>
      <c r="D651" s="51" t="s">
        <v>620</v>
      </c>
      <c r="E651" s="52">
        <v>244</v>
      </c>
      <c r="F651" s="36">
        <f>30000-1500-6952</f>
        <v>21548</v>
      </c>
      <c r="G651" s="36">
        <v>21547.499690000001</v>
      </c>
      <c r="H651" s="97">
        <f t="shared" si="132"/>
        <v>99.997678160386116</v>
      </c>
    </row>
    <row r="652" spans="1:8" ht="31.5" x14ac:dyDescent="0.2">
      <c r="A652" s="155" t="s">
        <v>812</v>
      </c>
      <c r="B652" s="148" t="s">
        <v>999</v>
      </c>
      <c r="C652" s="148" t="s">
        <v>1032</v>
      </c>
      <c r="D652" s="148" t="s">
        <v>813</v>
      </c>
      <c r="E652" s="218"/>
      <c r="F652" s="144">
        <f t="shared" ref="F652:G658" si="143">F653</f>
        <v>170420</v>
      </c>
      <c r="G652" s="144">
        <f t="shared" si="143"/>
        <v>167727.59357</v>
      </c>
      <c r="H652" s="131">
        <f t="shared" si="132"/>
        <v>98.420134708367556</v>
      </c>
    </row>
    <row r="653" spans="1:8" ht="18.75" x14ac:dyDescent="0.2">
      <c r="A653" s="150" t="s">
        <v>871</v>
      </c>
      <c r="B653" s="141" t="s">
        <v>999</v>
      </c>
      <c r="C653" s="141" t="s">
        <v>1032</v>
      </c>
      <c r="D653" s="141" t="s">
        <v>813</v>
      </c>
      <c r="E653" s="219">
        <v>200</v>
      </c>
      <c r="F653" s="147">
        <f t="shared" si="143"/>
        <v>170420</v>
      </c>
      <c r="G653" s="147">
        <f t="shared" si="143"/>
        <v>167727.59357</v>
      </c>
      <c r="H653" s="131">
        <f t="shared" si="132"/>
        <v>98.420134708367556</v>
      </c>
    </row>
    <row r="654" spans="1:8" ht="31.5" x14ac:dyDescent="0.2">
      <c r="A654" s="150" t="s">
        <v>17</v>
      </c>
      <c r="B654" s="141" t="s">
        <v>999</v>
      </c>
      <c r="C654" s="141" t="s">
        <v>1032</v>
      </c>
      <c r="D654" s="141" t="s">
        <v>813</v>
      </c>
      <c r="E654" s="219">
        <v>240</v>
      </c>
      <c r="F654" s="147">
        <f t="shared" si="143"/>
        <v>170420</v>
      </c>
      <c r="G654" s="147">
        <f t="shared" si="143"/>
        <v>167727.59357</v>
      </c>
      <c r="H654" s="131">
        <f t="shared" si="132"/>
        <v>98.420134708367556</v>
      </c>
    </row>
    <row r="655" spans="1:8" s="82" customFormat="1" ht="18.75" hidden="1" x14ac:dyDescent="0.2">
      <c r="A655" s="3" t="s">
        <v>548</v>
      </c>
      <c r="B655" s="2" t="s">
        <v>999</v>
      </c>
      <c r="C655" s="2" t="s">
        <v>1032</v>
      </c>
      <c r="D655" s="2" t="s">
        <v>813</v>
      </c>
      <c r="E655" s="49">
        <v>244</v>
      </c>
      <c r="F655" s="10">
        <f>145121+7638+16777+884</f>
        <v>170420</v>
      </c>
      <c r="G655" s="10">
        <v>167727.59357</v>
      </c>
      <c r="H655" s="97">
        <f t="shared" si="132"/>
        <v>98.420134708367556</v>
      </c>
    </row>
    <row r="656" spans="1:8" ht="47.25" x14ac:dyDescent="0.2">
      <c r="A656" s="155" t="s">
        <v>848</v>
      </c>
      <c r="B656" s="148" t="s">
        <v>999</v>
      </c>
      <c r="C656" s="148" t="s">
        <v>1032</v>
      </c>
      <c r="D656" s="148" t="s">
        <v>849</v>
      </c>
      <c r="E656" s="218"/>
      <c r="F656" s="144">
        <f t="shared" si="143"/>
        <v>7507.0626300000004</v>
      </c>
      <c r="G656" s="144">
        <f t="shared" si="143"/>
        <v>7507.0626300000004</v>
      </c>
      <c r="H656" s="131">
        <f t="shared" si="132"/>
        <v>100</v>
      </c>
    </row>
    <row r="657" spans="1:8" ht="18.75" x14ac:dyDescent="0.2">
      <c r="A657" s="150" t="s">
        <v>871</v>
      </c>
      <c r="B657" s="141" t="s">
        <v>999</v>
      </c>
      <c r="C657" s="141" t="s">
        <v>1032</v>
      </c>
      <c r="D657" s="141" t="s">
        <v>849</v>
      </c>
      <c r="E657" s="219">
        <v>200</v>
      </c>
      <c r="F657" s="147">
        <f t="shared" si="143"/>
        <v>7507.0626300000004</v>
      </c>
      <c r="G657" s="147">
        <f t="shared" si="143"/>
        <v>7507.0626300000004</v>
      </c>
      <c r="H657" s="131">
        <f t="shared" si="132"/>
        <v>100</v>
      </c>
    </row>
    <row r="658" spans="1:8" ht="31.5" x14ac:dyDescent="0.2">
      <c r="A658" s="150" t="s">
        <v>17</v>
      </c>
      <c r="B658" s="141" t="s">
        <v>999</v>
      </c>
      <c r="C658" s="141" t="s">
        <v>1032</v>
      </c>
      <c r="D658" s="141" t="s">
        <v>849</v>
      </c>
      <c r="E658" s="219">
        <v>240</v>
      </c>
      <c r="F658" s="147">
        <f t="shared" si="143"/>
        <v>7507.0626300000004</v>
      </c>
      <c r="G658" s="147">
        <f t="shared" si="143"/>
        <v>7507.0626300000004</v>
      </c>
      <c r="H658" s="131">
        <f t="shared" si="132"/>
        <v>100</v>
      </c>
    </row>
    <row r="659" spans="1:8" s="82" customFormat="1" ht="18.75" hidden="1" x14ac:dyDescent="0.2">
      <c r="A659" s="3" t="s">
        <v>548</v>
      </c>
      <c r="B659" s="2" t="s">
        <v>999</v>
      </c>
      <c r="C659" s="2" t="s">
        <v>1032</v>
      </c>
      <c r="D659" s="2" t="s">
        <v>849</v>
      </c>
      <c r="E659" s="49">
        <v>244</v>
      </c>
      <c r="F659" s="10">
        <v>7507.0626300000004</v>
      </c>
      <c r="G659" s="10">
        <v>7507.0626300000004</v>
      </c>
      <c r="H659" s="97">
        <f t="shared" si="132"/>
        <v>100</v>
      </c>
    </row>
    <row r="660" spans="1:8" ht="47.25" x14ac:dyDescent="0.2">
      <c r="A660" s="155" t="s">
        <v>786</v>
      </c>
      <c r="B660" s="148" t="s">
        <v>999</v>
      </c>
      <c r="C660" s="148" t="s">
        <v>1032</v>
      </c>
      <c r="D660" s="148" t="s">
        <v>788</v>
      </c>
      <c r="E660" s="218"/>
      <c r="F660" s="168">
        <f>F661</f>
        <v>64779</v>
      </c>
      <c r="G660" s="168">
        <f t="shared" ref="G660:G662" si="144">G661</f>
        <v>43801.741860000002</v>
      </c>
      <c r="H660" s="131">
        <f t="shared" si="132"/>
        <v>67.61719362756449</v>
      </c>
    </row>
    <row r="661" spans="1:8" ht="18.75" x14ac:dyDescent="0.2">
      <c r="A661" s="150" t="s">
        <v>871</v>
      </c>
      <c r="B661" s="141" t="s">
        <v>999</v>
      </c>
      <c r="C661" s="141" t="s">
        <v>1032</v>
      </c>
      <c r="D661" s="141" t="s">
        <v>788</v>
      </c>
      <c r="E661" s="219">
        <v>200</v>
      </c>
      <c r="F661" s="166">
        <f>F662</f>
        <v>64779</v>
      </c>
      <c r="G661" s="166">
        <f t="shared" si="144"/>
        <v>43801.741860000002</v>
      </c>
      <c r="H661" s="131">
        <f t="shared" si="132"/>
        <v>67.61719362756449</v>
      </c>
    </row>
    <row r="662" spans="1:8" ht="31.5" x14ac:dyDescent="0.2">
      <c r="A662" s="150" t="s">
        <v>17</v>
      </c>
      <c r="B662" s="141" t="s">
        <v>999</v>
      </c>
      <c r="C662" s="141" t="s">
        <v>1032</v>
      </c>
      <c r="D662" s="141" t="s">
        <v>788</v>
      </c>
      <c r="E662" s="219">
        <v>240</v>
      </c>
      <c r="F662" s="166">
        <f>F663</f>
        <v>64779</v>
      </c>
      <c r="G662" s="166">
        <f t="shared" si="144"/>
        <v>43801.741860000002</v>
      </c>
      <c r="H662" s="131">
        <f t="shared" si="132"/>
        <v>67.61719362756449</v>
      </c>
    </row>
    <row r="663" spans="1:8" s="82" customFormat="1" ht="31.5" hidden="1" x14ac:dyDescent="0.2">
      <c r="A663" s="3" t="s">
        <v>787</v>
      </c>
      <c r="B663" s="2" t="s">
        <v>999</v>
      </c>
      <c r="C663" s="2" t="s">
        <v>1032</v>
      </c>
      <c r="D663" s="2" t="s">
        <v>788</v>
      </c>
      <c r="E663" s="49">
        <v>243</v>
      </c>
      <c r="F663" s="36">
        <f>31185+315+333+32946</f>
        <v>64779</v>
      </c>
      <c r="G663" s="14">
        <v>43801.741860000002</v>
      </c>
      <c r="H663" s="97">
        <f t="shared" si="132"/>
        <v>67.61719362756449</v>
      </c>
    </row>
    <row r="664" spans="1:8" ht="31.5" x14ac:dyDescent="0.2">
      <c r="A664" s="132" t="s">
        <v>523</v>
      </c>
      <c r="B664" s="133" t="s">
        <v>999</v>
      </c>
      <c r="C664" s="133" t="s">
        <v>1032</v>
      </c>
      <c r="D664" s="133" t="s">
        <v>147</v>
      </c>
      <c r="E664" s="133"/>
      <c r="F664" s="134">
        <f>F665+F669</f>
        <v>39899.573000000004</v>
      </c>
      <c r="G664" s="134">
        <f>G665+G669</f>
        <v>38800.247340000002</v>
      </c>
      <c r="H664" s="131">
        <f t="shared" si="132"/>
        <v>97.244768358799234</v>
      </c>
    </row>
    <row r="665" spans="1:8" ht="31.5" x14ac:dyDescent="0.2">
      <c r="A665" s="140" t="s">
        <v>288</v>
      </c>
      <c r="B665" s="148" t="s">
        <v>999</v>
      </c>
      <c r="C665" s="148" t="s">
        <v>1032</v>
      </c>
      <c r="D665" s="148" t="s">
        <v>148</v>
      </c>
      <c r="E665" s="148"/>
      <c r="F665" s="144">
        <f t="shared" ref="F665:G667" si="145">F666</f>
        <v>8400</v>
      </c>
      <c r="G665" s="144">
        <f t="shared" si="145"/>
        <v>8351.9636599999994</v>
      </c>
      <c r="H665" s="131">
        <f t="shared" si="132"/>
        <v>99.428138809523801</v>
      </c>
    </row>
    <row r="666" spans="1:8" ht="18.75" x14ac:dyDescent="0.2">
      <c r="A666" s="145" t="s">
        <v>871</v>
      </c>
      <c r="B666" s="141" t="s">
        <v>999</v>
      </c>
      <c r="C666" s="141" t="s">
        <v>1032</v>
      </c>
      <c r="D666" s="141" t="s">
        <v>148</v>
      </c>
      <c r="E666" s="141" t="s">
        <v>15</v>
      </c>
      <c r="F666" s="147">
        <f t="shared" si="145"/>
        <v>8400</v>
      </c>
      <c r="G666" s="147">
        <f t="shared" si="145"/>
        <v>8351.9636599999994</v>
      </c>
      <c r="H666" s="131">
        <f t="shared" ref="H666:H719" si="146">G666/F666*100</f>
        <v>99.428138809523801</v>
      </c>
    </row>
    <row r="667" spans="1:8" ht="31.5" x14ac:dyDescent="0.2">
      <c r="A667" s="145" t="s">
        <v>17</v>
      </c>
      <c r="B667" s="141" t="s">
        <v>999</v>
      </c>
      <c r="C667" s="141" t="s">
        <v>1032</v>
      </c>
      <c r="D667" s="141" t="s">
        <v>148</v>
      </c>
      <c r="E667" s="141" t="s">
        <v>16</v>
      </c>
      <c r="F667" s="147">
        <f t="shared" si="145"/>
        <v>8400</v>
      </c>
      <c r="G667" s="147">
        <f t="shared" si="145"/>
        <v>8351.9636599999994</v>
      </c>
      <c r="H667" s="131">
        <f t="shared" si="146"/>
        <v>99.428138809523801</v>
      </c>
    </row>
    <row r="668" spans="1:8" s="82" customFormat="1" ht="31.5" hidden="1" x14ac:dyDescent="0.2">
      <c r="A668" s="23" t="s">
        <v>389</v>
      </c>
      <c r="B668" s="2" t="s">
        <v>999</v>
      </c>
      <c r="C668" s="2" t="s">
        <v>1032</v>
      </c>
      <c r="D668" s="2" t="s">
        <v>148</v>
      </c>
      <c r="E668" s="2" t="s">
        <v>368</v>
      </c>
      <c r="F668" s="10">
        <f>5000-250+3650</f>
        <v>8400</v>
      </c>
      <c r="G668" s="10">
        <v>8351.9636599999994</v>
      </c>
      <c r="H668" s="97">
        <f t="shared" si="146"/>
        <v>99.428138809523801</v>
      </c>
    </row>
    <row r="669" spans="1:8" ht="18.75" x14ac:dyDescent="0.2">
      <c r="A669" s="140" t="s">
        <v>149</v>
      </c>
      <c r="B669" s="148" t="s">
        <v>999</v>
      </c>
      <c r="C669" s="148" t="s">
        <v>1032</v>
      </c>
      <c r="D669" s="148" t="s">
        <v>150</v>
      </c>
      <c r="E669" s="148"/>
      <c r="F669" s="144">
        <f>F670</f>
        <v>31499.573</v>
      </c>
      <c r="G669" s="144">
        <f>G670</f>
        <v>30448.28368</v>
      </c>
      <c r="H669" s="131">
        <f t="shared" si="146"/>
        <v>96.662528346019172</v>
      </c>
    </row>
    <row r="670" spans="1:8" ht="18.75" x14ac:dyDescent="0.2">
      <c r="A670" s="145" t="s">
        <v>871</v>
      </c>
      <c r="B670" s="141" t="s">
        <v>999</v>
      </c>
      <c r="C670" s="141" t="s">
        <v>1032</v>
      </c>
      <c r="D670" s="141" t="s">
        <v>150</v>
      </c>
      <c r="E670" s="141" t="s">
        <v>15</v>
      </c>
      <c r="F670" s="147">
        <f t="shared" ref="F670:G671" si="147">F671</f>
        <v>31499.573</v>
      </c>
      <c r="G670" s="147">
        <f t="shared" si="147"/>
        <v>30448.28368</v>
      </c>
      <c r="H670" s="131">
        <f t="shared" si="146"/>
        <v>96.662528346019172</v>
      </c>
    </row>
    <row r="671" spans="1:8" ht="31.5" x14ac:dyDescent="0.2">
      <c r="A671" s="145" t="s">
        <v>17</v>
      </c>
      <c r="B671" s="141" t="s">
        <v>999</v>
      </c>
      <c r="C671" s="141" t="s">
        <v>1032</v>
      </c>
      <c r="D671" s="141" t="s">
        <v>150</v>
      </c>
      <c r="E671" s="141" t="s">
        <v>16</v>
      </c>
      <c r="F671" s="147">
        <f t="shared" si="147"/>
        <v>31499.573</v>
      </c>
      <c r="G671" s="147">
        <f t="shared" si="147"/>
        <v>30448.28368</v>
      </c>
      <c r="H671" s="131">
        <f t="shared" si="146"/>
        <v>96.662528346019172</v>
      </c>
    </row>
    <row r="672" spans="1:8" s="82" customFormat="1" ht="18.75" hidden="1" x14ac:dyDescent="0.2">
      <c r="A672" s="3" t="s">
        <v>548</v>
      </c>
      <c r="B672" s="2" t="s">
        <v>999</v>
      </c>
      <c r="C672" s="2" t="s">
        <v>1032</v>
      </c>
      <c r="D672" s="2" t="s">
        <v>150</v>
      </c>
      <c r="E672" s="2" t="s">
        <v>67</v>
      </c>
      <c r="F672" s="10">
        <f>38500-2000-5000-0.427</f>
        <v>31499.573</v>
      </c>
      <c r="G672" s="10">
        <v>30448.28368</v>
      </c>
      <c r="H672" s="97">
        <f t="shared" si="146"/>
        <v>96.662528346019172</v>
      </c>
    </row>
    <row r="673" spans="1:8" ht="37.5" x14ac:dyDescent="0.3">
      <c r="A673" s="221" t="s">
        <v>1006</v>
      </c>
      <c r="B673" s="133" t="s">
        <v>999</v>
      </c>
      <c r="C673" s="133" t="s">
        <v>1032</v>
      </c>
      <c r="D673" s="185" t="s">
        <v>585</v>
      </c>
      <c r="E673" s="219"/>
      <c r="F673" s="222">
        <f t="shared" ref="F673:G674" si="148">F674</f>
        <v>60746.881000000008</v>
      </c>
      <c r="G673" s="222">
        <f t="shared" si="148"/>
        <v>57625.136610000001</v>
      </c>
      <c r="H673" s="131">
        <f t="shared" si="146"/>
        <v>94.861062265896408</v>
      </c>
    </row>
    <row r="674" spans="1:8" ht="37.5" x14ac:dyDescent="0.3">
      <c r="A674" s="221" t="s">
        <v>715</v>
      </c>
      <c r="B674" s="133" t="s">
        <v>999</v>
      </c>
      <c r="C674" s="133" t="s">
        <v>1032</v>
      </c>
      <c r="D674" s="185" t="s">
        <v>716</v>
      </c>
      <c r="E674" s="219"/>
      <c r="F674" s="222">
        <f t="shared" si="148"/>
        <v>60746.881000000008</v>
      </c>
      <c r="G674" s="222">
        <f t="shared" si="148"/>
        <v>57625.136610000001</v>
      </c>
      <c r="H674" s="131">
        <f t="shared" si="146"/>
        <v>94.861062265896408</v>
      </c>
    </row>
    <row r="675" spans="1:8" ht="18.75" x14ac:dyDescent="0.25">
      <c r="A675" s="163" t="s">
        <v>798</v>
      </c>
      <c r="B675" s="133" t="s">
        <v>999</v>
      </c>
      <c r="C675" s="133" t="s">
        <v>1032</v>
      </c>
      <c r="D675" s="133" t="s">
        <v>799</v>
      </c>
      <c r="E675" s="133"/>
      <c r="F675" s="203">
        <f>F676+F680+F684</f>
        <v>60746.881000000008</v>
      </c>
      <c r="G675" s="203">
        <f t="shared" ref="G675" si="149">G676+G680+G684</f>
        <v>57625.136610000001</v>
      </c>
      <c r="H675" s="131">
        <f t="shared" si="146"/>
        <v>94.861062265896408</v>
      </c>
    </row>
    <row r="676" spans="1:8" ht="18.75" x14ac:dyDescent="0.2">
      <c r="A676" s="140" t="s">
        <v>936</v>
      </c>
      <c r="B676" s="148" t="s">
        <v>999</v>
      </c>
      <c r="C676" s="148" t="s">
        <v>1032</v>
      </c>
      <c r="D676" s="148" t="s">
        <v>836</v>
      </c>
      <c r="E676" s="148"/>
      <c r="F676" s="183">
        <f t="shared" ref="F676:G678" si="150">F677</f>
        <v>11650</v>
      </c>
      <c r="G676" s="183">
        <f t="shared" si="150"/>
        <v>11650</v>
      </c>
      <c r="H676" s="131">
        <f t="shared" si="146"/>
        <v>100</v>
      </c>
    </row>
    <row r="677" spans="1:8" ht="18.75" x14ac:dyDescent="0.2">
      <c r="A677" s="145" t="s">
        <v>871</v>
      </c>
      <c r="B677" s="141" t="s">
        <v>999</v>
      </c>
      <c r="C677" s="141" t="s">
        <v>1032</v>
      </c>
      <c r="D677" s="141" t="s">
        <v>836</v>
      </c>
      <c r="E677" s="141" t="s">
        <v>15</v>
      </c>
      <c r="F677" s="160">
        <f t="shared" si="150"/>
        <v>11650</v>
      </c>
      <c r="G677" s="160">
        <f t="shared" si="150"/>
        <v>11650</v>
      </c>
      <c r="H677" s="131">
        <f t="shared" si="146"/>
        <v>100</v>
      </c>
    </row>
    <row r="678" spans="1:8" ht="31.5" x14ac:dyDescent="0.2">
      <c r="A678" s="145" t="s">
        <v>17</v>
      </c>
      <c r="B678" s="141" t="s">
        <v>999</v>
      </c>
      <c r="C678" s="141" t="s">
        <v>1032</v>
      </c>
      <c r="D678" s="141" t="s">
        <v>836</v>
      </c>
      <c r="E678" s="141" t="s">
        <v>16</v>
      </c>
      <c r="F678" s="160">
        <f t="shared" si="150"/>
        <v>11650</v>
      </c>
      <c r="G678" s="160">
        <f t="shared" si="150"/>
        <v>11650</v>
      </c>
      <c r="H678" s="131">
        <f t="shared" si="146"/>
        <v>100</v>
      </c>
    </row>
    <row r="679" spans="1:8" s="82" customFormat="1" ht="18.75" hidden="1" x14ac:dyDescent="0.2">
      <c r="A679" s="3" t="s">
        <v>548</v>
      </c>
      <c r="B679" s="2" t="s">
        <v>999</v>
      </c>
      <c r="C679" s="2" t="s">
        <v>1032</v>
      </c>
      <c r="D679" s="2" t="s">
        <v>836</v>
      </c>
      <c r="E679" s="2" t="s">
        <v>67</v>
      </c>
      <c r="F679" s="62">
        <f>12530-543.84-336.16</f>
        <v>11650</v>
      </c>
      <c r="G679" s="62">
        <v>11650</v>
      </c>
      <c r="H679" s="97">
        <f t="shared" si="146"/>
        <v>100</v>
      </c>
    </row>
    <row r="680" spans="1:8" ht="31.5" x14ac:dyDescent="0.2">
      <c r="A680" s="140" t="s">
        <v>945</v>
      </c>
      <c r="B680" s="148" t="s">
        <v>999</v>
      </c>
      <c r="C680" s="148" t="s">
        <v>1032</v>
      </c>
      <c r="D680" s="148" t="s">
        <v>800</v>
      </c>
      <c r="E680" s="148"/>
      <c r="F680" s="183">
        <f t="shared" ref="F680:G682" si="151">F681</f>
        <v>14555.19</v>
      </c>
      <c r="G680" s="183">
        <f t="shared" si="151"/>
        <v>14546.936830000001</v>
      </c>
      <c r="H680" s="131">
        <f t="shared" si="146"/>
        <v>99.943297408003602</v>
      </c>
    </row>
    <row r="681" spans="1:8" ht="18.75" x14ac:dyDescent="0.2">
      <c r="A681" s="145" t="s">
        <v>871</v>
      </c>
      <c r="B681" s="141" t="s">
        <v>999</v>
      </c>
      <c r="C681" s="141" t="s">
        <v>1032</v>
      </c>
      <c r="D681" s="141" t="s">
        <v>800</v>
      </c>
      <c r="E681" s="141" t="s">
        <v>15</v>
      </c>
      <c r="F681" s="160">
        <f t="shared" si="151"/>
        <v>14555.19</v>
      </c>
      <c r="G681" s="160">
        <f t="shared" si="151"/>
        <v>14546.936830000001</v>
      </c>
      <c r="H681" s="131">
        <f t="shared" si="146"/>
        <v>99.943297408003602</v>
      </c>
    </row>
    <row r="682" spans="1:8" ht="31.5" x14ac:dyDescent="0.2">
      <c r="A682" s="145" t="s">
        <v>17</v>
      </c>
      <c r="B682" s="141" t="s">
        <v>999</v>
      </c>
      <c r="C682" s="141" t="s">
        <v>1032</v>
      </c>
      <c r="D682" s="141" t="s">
        <v>800</v>
      </c>
      <c r="E682" s="141" t="s">
        <v>16</v>
      </c>
      <c r="F682" s="160">
        <f t="shared" si="151"/>
        <v>14555.19</v>
      </c>
      <c r="G682" s="160">
        <f t="shared" si="151"/>
        <v>14546.936830000001</v>
      </c>
      <c r="H682" s="131">
        <f t="shared" si="146"/>
        <v>99.943297408003602</v>
      </c>
    </row>
    <row r="683" spans="1:8" s="82" customFormat="1" ht="18.75" hidden="1" x14ac:dyDescent="0.2">
      <c r="A683" s="3" t="s">
        <v>548</v>
      </c>
      <c r="B683" s="2" t="s">
        <v>999</v>
      </c>
      <c r="C683" s="2" t="s">
        <v>1032</v>
      </c>
      <c r="D683" s="2" t="s">
        <v>800</v>
      </c>
      <c r="E683" s="2" t="s">
        <v>67</v>
      </c>
      <c r="F683" s="62">
        <f>14568.52-13.33</f>
        <v>14555.19</v>
      </c>
      <c r="G683" s="62">
        <v>14546.936830000001</v>
      </c>
      <c r="H683" s="97">
        <f t="shared" si="146"/>
        <v>99.943297408003602</v>
      </c>
    </row>
    <row r="684" spans="1:8" ht="18.75" x14ac:dyDescent="0.2">
      <c r="A684" s="140" t="s">
        <v>929</v>
      </c>
      <c r="B684" s="148" t="s">
        <v>999</v>
      </c>
      <c r="C684" s="148" t="s">
        <v>1032</v>
      </c>
      <c r="D684" s="148" t="s">
        <v>930</v>
      </c>
      <c r="E684" s="148"/>
      <c r="F684" s="183">
        <f t="shared" ref="F684:G686" si="152">F685</f>
        <v>34541.691000000006</v>
      </c>
      <c r="G684" s="183">
        <f t="shared" si="152"/>
        <v>31428.199779999999</v>
      </c>
      <c r="H684" s="131">
        <f t="shared" si="146"/>
        <v>90.986280260569742</v>
      </c>
    </row>
    <row r="685" spans="1:8" ht="18.75" x14ac:dyDescent="0.2">
      <c r="A685" s="145" t="s">
        <v>871</v>
      </c>
      <c r="B685" s="141" t="s">
        <v>999</v>
      </c>
      <c r="C685" s="141" t="s">
        <v>1032</v>
      </c>
      <c r="D685" s="141" t="s">
        <v>930</v>
      </c>
      <c r="E685" s="141" t="s">
        <v>15</v>
      </c>
      <c r="F685" s="160">
        <f t="shared" si="152"/>
        <v>34541.691000000006</v>
      </c>
      <c r="G685" s="160">
        <f t="shared" si="152"/>
        <v>31428.199779999999</v>
      </c>
      <c r="H685" s="131">
        <f t="shared" si="146"/>
        <v>90.986280260569742</v>
      </c>
    </row>
    <row r="686" spans="1:8" ht="31.5" x14ac:dyDescent="0.2">
      <c r="A686" s="145" t="s">
        <v>17</v>
      </c>
      <c r="B686" s="141" t="s">
        <v>999</v>
      </c>
      <c r="C686" s="141" t="s">
        <v>1032</v>
      </c>
      <c r="D686" s="141" t="s">
        <v>930</v>
      </c>
      <c r="E686" s="141" t="s">
        <v>16</v>
      </c>
      <c r="F686" s="160">
        <f t="shared" si="152"/>
        <v>34541.691000000006</v>
      </c>
      <c r="G686" s="160">
        <f t="shared" si="152"/>
        <v>31428.199779999999</v>
      </c>
      <c r="H686" s="131">
        <f t="shared" si="146"/>
        <v>90.986280260569742</v>
      </c>
    </row>
    <row r="687" spans="1:8" s="82" customFormat="1" ht="18.75" hidden="1" x14ac:dyDescent="0.2">
      <c r="A687" s="3" t="s">
        <v>548</v>
      </c>
      <c r="B687" s="2" t="s">
        <v>999</v>
      </c>
      <c r="C687" s="2" t="s">
        <v>1032</v>
      </c>
      <c r="D687" s="2" t="s">
        <v>930</v>
      </c>
      <c r="E687" s="2" t="s">
        <v>67</v>
      </c>
      <c r="F687" s="62">
        <f>37399.01-671.849-261.111-1924.359</f>
        <v>34541.691000000006</v>
      </c>
      <c r="G687" s="62">
        <v>31428.199779999999</v>
      </c>
      <c r="H687" s="97">
        <f t="shared" si="146"/>
        <v>90.986280260569742</v>
      </c>
    </row>
    <row r="688" spans="1:8" ht="18.75" x14ac:dyDescent="0.2">
      <c r="A688" s="132" t="s">
        <v>1040</v>
      </c>
      <c r="B688" s="133" t="s">
        <v>999</v>
      </c>
      <c r="C688" s="133" t="s">
        <v>1041</v>
      </c>
      <c r="D688" s="133"/>
      <c r="E688" s="133"/>
      <c r="F688" s="134">
        <f>F689+F712+F722</f>
        <v>25961</v>
      </c>
      <c r="G688" s="134">
        <f>G689+G712+G722</f>
        <v>25716.658579999996</v>
      </c>
      <c r="H688" s="131">
        <f t="shared" si="146"/>
        <v>99.05881352798427</v>
      </c>
    </row>
    <row r="689" spans="1:8" ht="31.5" x14ac:dyDescent="0.2">
      <c r="A689" s="132" t="s">
        <v>1042</v>
      </c>
      <c r="B689" s="133" t="s">
        <v>999</v>
      </c>
      <c r="C689" s="133" t="s">
        <v>1041</v>
      </c>
      <c r="D689" s="133" t="s">
        <v>163</v>
      </c>
      <c r="E689" s="133"/>
      <c r="F689" s="134">
        <f>F690+F699</f>
        <v>9984</v>
      </c>
      <c r="G689" s="134">
        <f>G690+G699</f>
        <v>9834</v>
      </c>
      <c r="H689" s="131">
        <f t="shared" si="146"/>
        <v>98.49759615384616</v>
      </c>
    </row>
    <row r="690" spans="1:8" ht="47.25" x14ac:dyDescent="0.2">
      <c r="A690" s="132" t="s">
        <v>373</v>
      </c>
      <c r="B690" s="133" t="s">
        <v>999</v>
      </c>
      <c r="C690" s="133" t="s">
        <v>1041</v>
      </c>
      <c r="D690" s="133" t="s">
        <v>164</v>
      </c>
      <c r="E690" s="133"/>
      <c r="F690" s="134">
        <f>F691+F695</f>
        <v>1051</v>
      </c>
      <c r="G690" s="134">
        <f>G691+G695</f>
        <v>1051</v>
      </c>
      <c r="H690" s="131">
        <f t="shared" si="146"/>
        <v>100</v>
      </c>
    </row>
    <row r="691" spans="1:8" ht="47.25" x14ac:dyDescent="0.2">
      <c r="A691" s="155" t="s">
        <v>57</v>
      </c>
      <c r="B691" s="148" t="s">
        <v>999</v>
      </c>
      <c r="C691" s="148" t="s">
        <v>1041</v>
      </c>
      <c r="D691" s="148" t="s">
        <v>165</v>
      </c>
      <c r="E691" s="148"/>
      <c r="F691" s="144">
        <f t="shared" ref="F691:G693" si="153">F692</f>
        <v>571</v>
      </c>
      <c r="G691" s="144">
        <f t="shared" si="153"/>
        <v>571</v>
      </c>
      <c r="H691" s="131">
        <f t="shared" si="146"/>
        <v>100</v>
      </c>
    </row>
    <row r="692" spans="1:8" ht="31.5" x14ac:dyDescent="0.2">
      <c r="A692" s="157" t="s">
        <v>18</v>
      </c>
      <c r="B692" s="141" t="s">
        <v>999</v>
      </c>
      <c r="C692" s="219" t="s">
        <v>1041</v>
      </c>
      <c r="D692" s="141" t="s">
        <v>165</v>
      </c>
      <c r="E692" s="141" t="s">
        <v>20</v>
      </c>
      <c r="F692" s="147">
        <f t="shared" si="153"/>
        <v>571</v>
      </c>
      <c r="G692" s="147">
        <f t="shared" si="153"/>
        <v>571</v>
      </c>
      <c r="H692" s="131">
        <f t="shared" si="146"/>
        <v>100</v>
      </c>
    </row>
    <row r="693" spans="1:8" ht="31.5" x14ac:dyDescent="0.2">
      <c r="A693" s="157" t="s">
        <v>26</v>
      </c>
      <c r="B693" s="141" t="s">
        <v>999</v>
      </c>
      <c r="C693" s="219" t="s">
        <v>1041</v>
      </c>
      <c r="D693" s="141" t="s">
        <v>165</v>
      </c>
      <c r="E693" s="141" t="s">
        <v>0</v>
      </c>
      <c r="F693" s="147">
        <f>F694</f>
        <v>571</v>
      </c>
      <c r="G693" s="147">
        <f t="shared" si="153"/>
        <v>571</v>
      </c>
      <c r="H693" s="131">
        <f t="shared" si="146"/>
        <v>100</v>
      </c>
    </row>
    <row r="694" spans="1:8" s="82" customFormat="1" ht="31.5" hidden="1" x14ac:dyDescent="0.2">
      <c r="A694" s="74" t="s">
        <v>610</v>
      </c>
      <c r="B694" s="2" t="s">
        <v>999</v>
      </c>
      <c r="C694" s="49" t="s">
        <v>1041</v>
      </c>
      <c r="D694" s="2" t="s">
        <v>165</v>
      </c>
      <c r="E694" s="2" t="s">
        <v>471</v>
      </c>
      <c r="F694" s="10">
        <f>300+300-29</f>
        <v>571</v>
      </c>
      <c r="G694" s="10">
        <v>571</v>
      </c>
      <c r="H694" s="97">
        <f t="shared" si="146"/>
        <v>100</v>
      </c>
    </row>
    <row r="695" spans="1:8" ht="31.5" x14ac:dyDescent="0.2">
      <c r="A695" s="155" t="s">
        <v>45</v>
      </c>
      <c r="B695" s="148" t="s">
        <v>999</v>
      </c>
      <c r="C695" s="218" t="s">
        <v>1041</v>
      </c>
      <c r="D695" s="148" t="s">
        <v>374</v>
      </c>
      <c r="E695" s="148"/>
      <c r="F695" s="144">
        <f t="shared" ref="F695:G697" si="154">F696</f>
        <v>480</v>
      </c>
      <c r="G695" s="144">
        <f t="shared" si="154"/>
        <v>480</v>
      </c>
      <c r="H695" s="131">
        <f t="shared" si="146"/>
        <v>100</v>
      </c>
    </row>
    <row r="696" spans="1:8" ht="31.5" x14ac:dyDescent="0.2">
      <c r="A696" s="145" t="s">
        <v>18</v>
      </c>
      <c r="B696" s="141" t="s">
        <v>999</v>
      </c>
      <c r="C696" s="219" t="s">
        <v>1041</v>
      </c>
      <c r="D696" s="141" t="s">
        <v>374</v>
      </c>
      <c r="E696" s="141" t="s">
        <v>20</v>
      </c>
      <c r="F696" s="147">
        <f t="shared" si="154"/>
        <v>480</v>
      </c>
      <c r="G696" s="147">
        <f t="shared" si="154"/>
        <v>480</v>
      </c>
      <c r="H696" s="131">
        <f t="shared" si="146"/>
        <v>100</v>
      </c>
    </row>
    <row r="697" spans="1:8" ht="31.5" x14ac:dyDescent="0.2">
      <c r="A697" s="145" t="s">
        <v>26</v>
      </c>
      <c r="B697" s="141" t="s">
        <v>999</v>
      </c>
      <c r="C697" s="219" t="s">
        <v>1041</v>
      </c>
      <c r="D697" s="141" t="s">
        <v>374</v>
      </c>
      <c r="E697" s="141" t="s">
        <v>0</v>
      </c>
      <c r="F697" s="147">
        <f t="shared" si="154"/>
        <v>480</v>
      </c>
      <c r="G697" s="147">
        <f t="shared" si="154"/>
        <v>480</v>
      </c>
      <c r="H697" s="131">
        <f t="shared" si="146"/>
        <v>100</v>
      </c>
    </row>
    <row r="698" spans="1:8" s="82" customFormat="1" ht="31.5" hidden="1" x14ac:dyDescent="0.2">
      <c r="A698" s="53" t="s">
        <v>654</v>
      </c>
      <c r="B698" s="2" t="s">
        <v>999</v>
      </c>
      <c r="C698" s="49" t="s">
        <v>1041</v>
      </c>
      <c r="D698" s="2" t="s">
        <v>374</v>
      </c>
      <c r="E698" s="2" t="s">
        <v>472</v>
      </c>
      <c r="F698" s="10">
        <v>480</v>
      </c>
      <c r="G698" s="10">
        <v>480</v>
      </c>
      <c r="H698" s="97">
        <f t="shared" si="146"/>
        <v>100</v>
      </c>
    </row>
    <row r="699" spans="1:8" ht="31.5" x14ac:dyDescent="0.2">
      <c r="A699" s="132" t="s">
        <v>375</v>
      </c>
      <c r="B699" s="133" t="s">
        <v>999</v>
      </c>
      <c r="C699" s="211" t="s">
        <v>1041</v>
      </c>
      <c r="D699" s="139" t="s">
        <v>166</v>
      </c>
      <c r="E699" s="161"/>
      <c r="F699" s="134">
        <f>F700+F704+F708</f>
        <v>8933</v>
      </c>
      <c r="G699" s="134">
        <f>G700+G704+G708</f>
        <v>8783</v>
      </c>
      <c r="H699" s="131">
        <f t="shared" si="146"/>
        <v>98.320832866898016</v>
      </c>
    </row>
    <row r="700" spans="1:8" ht="31.5" x14ac:dyDescent="0.2">
      <c r="A700" s="155" t="s">
        <v>177</v>
      </c>
      <c r="B700" s="148" t="s">
        <v>999</v>
      </c>
      <c r="C700" s="218" t="s">
        <v>1041</v>
      </c>
      <c r="D700" s="148" t="s">
        <v>376</v>
      </c>
      <c r="E700" s="148"/>
      <c r="F700" s="144">
        <f t="shared" ref="F700:G702" si="155">F701</f>
        <v>7283</v>
      </c>
      <c r="G700" s="144">
        <f t="shared" si="155"/>
        <v>7283</v>
      </c>
      <c r="H700" s="131">
        <f t="shared" si="146"/>
        <v>100</v>
      </c>
    </row>
    <row r="701" spans="1:8" ht="18.75" x14ac:dyDescent="0.2">
      <c r="A701" s="157" t="s">
        <v>13</v>
      </c>
      <c r="B701" s="141" t="s">
        <v>999</v>
      </c>
      <c r="C701" s="219" t="s">
        <v>1041</v>
      </c>
      <c r="D701" s="141" t="s">
        <v>376</v>
      </c>
      <c r="E701" s="141" t="s">
        <v>14</v>
      </c>
      <c r="F701" s="147">
        <f t="shared" si="155"/>
        <v>7283</v>
      </c>
      <c r="G701" s="147">
        <f t="shared" si="155"/>
        <v>7283</v>
      </c>
      <c r="H701" s="131">
        <f t="shared" si="146"/>
        <v>100</v>
      </c>
    </row>
    <row r="702" spans="1:8" ht="47.25" x14ac:dyDescent="0.2">
      <c r="A702" s="145" t="s">
        <v>300</v>
      </c>
      <c r="B702" s="141" t="s">
        <v>999</v>
      </c>
      <c r="C702" s="219" t="s">
        <v>1041</v>
      </c>
      <c r="D702" s="141" t="s">
        <v>376</v>
      </c>
      <c r="E702" s="141" t="s">
        <v>12</v>
      </c>
      <c r="F702" s="147">
        <f t="shared" si="155"/>
        <v>7283</v>
      </c>
      <c r="G702" s="147">
        <f t="shared" si="155"/>
        <v>7283</v>
      </c>
      <c r="H702" s="131">
        <f t="shared" si="146"/>
        <v>100</v>
      </c>
    </row>
    <row r="703" spans="1:8" s="82" customFormat="1" ht="47.25" hidden="1" x14ac:dyDescent="0.2">
      <c r="A703" s="53" t="s">
        <v>470</v>
      </c>
      <c r="B703" s="2" t="s">
        <v>999</v>
      </c>
      <c r="C703" s="49" t="s">
        <v>1041</v>
      </c>
      <c r="D703" s="2" t="s">
        <v>376</v>
      </c>
      <c r="E703" s="2" t="s">
        <v>473</v>
      </c>
      <c r="F703" s="10">
        <f>8940-447-1210</f>
        <v>7283</v>
      </c>
      <c r="G703" s="10">
        <v>7283</v>
      </c>
      <c r="H703" s="97">
        <f t="shared" si="146"/>
        <v>100</v>
      </c>
    </row>
    <row r="704" spans="1:8" ht="31.5" x14ac:dyDescent="0.2">
      <c r="A704" s="140" t="s">
        <v>132</v>
      </c>
      <c r="B704" s="148" t="s">
        <v>999</v>
      </c>
      <c r="C704" s="218" t="s">
        <v>1041</v>
      </c>
      <c r="D704" s="148" t="s">
        <v>167</v>
      </c>
      <c r="E704" s="148"/>
      <c r="F704" s="144">
        <f t="shared" ref="F704:G706" si="156">F705</f>
        <v>1350</v>
      </c>
      <c r="G704" s="144">
        <f t="shared" si="156"/>
        <v>1350</v>
      </c>
      <c r="H704" s="131">
        <f t="shared" si="146"/>
        <v>100</v>
      </c>
    </row>
    <row r="705" spans="1:8" ht="31.5" x14ac:dyDescent="0.2">
      <c r="A705" s="145" t="s">
        <v>18</v>
      </c>
      <c r="B705" s="141" t="s">
        <v>999</v>
      </c>
      <c r="C705" s="219" t="s">
        <v>1041</v>
      </c>
      <c r="D705" s="141" t="s">
        <v>167</v>
      </c>
      <c r="E705" s="141" t="s">
        <v>20</v>
      </c>
      <c r="F705" s="147">
        <f t="shared" si="156"/>
        <v>1350</v>
      </c>
      <c r="G705" s="147">
        <f t="shared" si="156"/>
        <v>1350</v>
      </c>
      <c r="H705" s="131">
        <f t="shared" si="146"/>
        <v>100</v>
      </c>
    </row>
    <row r="706" spans="1:8" ht="31.5" x14ac:dyDescent="0.2">
      <c r="A706" s="145" t="s">
        <v>26</v>
      </c>
      <c r="B706" s="141" t="s">
        <v>999</v>
      </c>
      <c r="C706" s="219" t="s">
        <v>1041</v>
      </c>
      <c r="D706" s="141" t="s">
        <v>167</v>
      </c>
      <c r="E706" s="141" t="s">
        <v>0</v>
      </c>
      <c r="F706" s="147">
        <f t="shared" si="156"/>
        <v>1350</v>
      </c>
      <c r="G706" s="147">
        <f t="shared" si="156"/>
        <v>1350</v>
      </c>
      <c r="H706" s="131">
        <f t="shared" si="146"/>
        <v>100</v>
      </c>
    </row>
    <row r="707" spans="1:8" s="82" customFormat="1" ht="31.5" hidden="1" x14ac:dyDescent="0.2">
      <c r="A707" s="53" t="s">
        <v>654</v>
      </c>
      <c r="B707" s="2" t="s">
        <v>999</v>
      </c>
      <c r="C707" s="49" t="s">
        <v>1041</v>
      </c>
      <c r="D707" s="2" t="s">
        <v>167</v>
      </c>
      <c r="E707" s="2" t="s">
        <v>472</v>
      </c>
      <c r="F707" s="10">
        <f>140+1210</f>
        <v>1350</v>
      </c>
      <c r="G707" s="10">
        <v>1350</v>
      </c>
      <c r="H707" s="97">
        <f t="shared" si="146"/>
        <v>100</v>
      </c>
    </row>
    <row r="708" spans="1:8" ht="31.5" x14ac:dyDescent="0.2">
      <c r="A708" s="140" t="s">
        <v>377</v>
      </c>
      <c r="B708" s="141" t="s">
        <v>999</v>
      </c>
      <c r="C708" s="219" t="s">
        <v>1041</v>
      </c>
      <c r="D708" s="148" t="s">
        <v>168</v>
      </c>
      <c r="E708" s="148"/>
      <c r="F708" s="144">
        <f t="shared" ref="F708:G710" si="157">F709</f>
        <v>300</v>
      </c>
      <c r="G708" s="144">
        <f t="shared" si="157"/>
        <v>150</v>
      </c>
      <c r="H708" s="131">
        <f t="shared" si="146"/>
        <v>50</v>
      </c>
    </row>
    <row r="709" spans="1:8" ht="31.5" x14ac:dyDescent="0.2">
      <c r="A709" s="145" t="s">
        <v>18</v>
      </c>
      <c r="B709" s="141" t="s">
        <v>999</v>
      </c>
      <c r="C709" s="219" t="s">
        <v>1041</v>
      </c>
      <c r="D709" s="141" t="s">
        <v>168</v>
      </c>
      <c r="E709" s="141" t="s">
        <v>20</v>
      </c>
      <c r="F709" s="147">
        <f t="shared" si="157"/>
        <v>300</v>
      </c>
      <c r="G709" s="147">
        <f t="shared" si="157"/>
        <v>150</v>
      </c>
      <c r="H709" s="131">
        <f t="shared" si="146"/>
        <v>50</v>
      </c>
    </row>
    <row r="710" spans="1:8" ht="31.5" x14ac:dyDescent="0.2">
      <c r="A710" s="145" t="s">
        <v>26</v>
      </c>
      <c r="B710" s="141" t="s">
        <v>999</v>
      </c>
      <c r="C710" s="219" t="s">
        <v>1041</v>
      </c>
      <c r="D710" s="141" t="s">
        <v>168</v>
      </c>
      <c r="E710" s="141" t="s">
        <v>0</v>
      </c>
      <c r="F710" s="147">
        <f t="shared" si="157"/>
        <v>300</v>
      </c>
      <c r="G710" s="147">
        <f t="shared" si="157"/>
        <v>150</v>
      </c>
      <c r="H710" s="131">
        <f t="shared" si="146"/>
        <v>50</v>
      </c>
    </row>
    <row r="711" spans="1:8" s="82" customFormat="1" ht="31.5" hidden="1" x14ac:dyDescent="0.2">
      <c r="A711" s="53" t="s">
        <v>654</v>
      </c>
      <c r="B711" s="2" t="s">
        <v>999</v>
      </c>
      <c r="C711" s="49" t="s">
        <v>1041</v>
      </c>
      <c r="D711" s="2" t="s">
        <v>168</v>
      </c>
      <c r="E711" s="2" t="s">
        <v>472</v>
      </c>
      <c r="F711" s="10">
        <f>350-50</f>
        <v>300</v>
      </c>
      <c r="G711" s="10">
        <v>150</v>
      </c>
      <c r="H711" s="97">
        <f t="shared" si="146"/>
        <v>50</v>
      </c>
    </row>
    <row r="712" spans="1:8" ht="31.5" x14ac:dyDescent="0.2">
      <c r="A712" s="132" t="s">
        <v>1028</v>
      </c>
      <c r="B712" s="133" t="s">
        <v>999</v>
      </c>
      <c r="C712" s="133" t="s">
        <v>1041</v>
      </c>
      <c r="D712" s="133" t="s">
        <v>169</v>
      </c>
      <c r="E712" s="133"/>
      <c r="F712" s="134">
        <f>F713</f>
        <v>10487</v>
      </c>
      <c r="G712" s="134">
        <f>G713</f>
        <v>10393.536249999999</v>
      </c>
      <c r="H712" s="131">
        <f t="shared" si="146"/>
        <v>99.108765614570416</v>
      </c>
    </row>
    <row r="713" spans="1:8" ht="31.5" x14ac:dyDescent="0.2">
      <c r="A713" s="132" t="s">
        <v>645</v>
      </c>
      <c r="B713" s="133" t="s">
        <v>999</v>
      </c>
      <c r="C713" s="133" t="s">
        <v>1041</v>
      </c>
      <c r="D713" s="139" t="s">
        <v>646</v>
      </c>
      <c r="E713" s="136"/>
      <c r="F713" s="138">
        <f>F714+F718</f>
        <v>10487</v>
      </c>
      <c r="G713" s="138">
        <f t="shared" ref="G713" si="158">G714+G718</f>
        <v>10393.536249999999</v>
      </c>
      <c r="H713" s="131">
        <f t="shared" si="146"/>
        <v>99.108765614570416</v>
      </c>
    </row>
    <row r="714" spans="1:8" ht="31.5" x14ac:dyDescent="0.2">
      <c r="A714" s="140" t="s">
        <v>647</v>
      </c>
      <c r="B714" s="148" t="s">
        <v>999</v>
      </c>
      <c r="C714" s="148" t="s">
        <v>1041</v>
      </c>
      <c r="D714" s="148" t="s">
        <v>649</v>
      </c>
      <c r="E714" s="148"/>
      <c r="F714" s="144">
        <f t="shared" ref="F714:G720" si="159">F715</f>
        <v>10000</v>
      </c>
      <c r="G714" s="144">
        <f t="shared" si="159"/>
        <v>9986.7237499999992</v>
      </c>
      <c r="H714" s="131">
        <f t="shared" si="146"/>
        <v>99.867237499999987</v>
      </c>
    </row>
    <row r="715" spans="1:8" ht="18.75" x14ac:dyDescent="0.2">
      <c r="A715" s="145" t="s">
        <v>871</v>
      </c>
      <c r="B715" s="141" t="s">
        <v>999</v>
      </c>
      <c r="C715" s="141" t="s">
        <v>1041</v>
      </c>
      <c r="D715" s="141" t="s">
        <v>649</v>
      </c>
      <c r="E715" s="141" t="s">
        <v>15</v>
      </c>
      <c r="F715" s="147">
        <f t="shared" si="159"/>
        <v>10000</v>
      </c>
      <c r="G715" s="147">
        <f t="shared" si="159"/>
        <v>9986.7237499999992</v>
      </c>
      <c r="H715" s="131">
        <f t="shared" si="146"/>
        <v>99.867237499999987</v>
      </c>
    </row>
    <row r="716" spans="1:8" ht="31.5" x14ac:dyDescent="0.2">
      <c r="A716" s="145" t="s">
        <v>17</v>
      </c>
      <c r="B716" s="141" t="s">
        <v>999</v>
      </c>
      <c r="C716" s="141" t="s">
        <v>1041</v>
      </c>
      <c r="D716" s="141" t="s">
        <v>649</v>
      </c>
      <c r="E716" s="141" t="s">
        <v>16</v>
      </c>
      <c r="F716" s="147">
        <f t="shared" si="159"/>
        <v>10000</v>
      </c>
      <c r="G716" s="147">
        <f t="shared" si="159"/>
        <v>9986.7237499999992</v>
      </c>
      <c r="H716" s="131">
        <f t="shared" si="146"/>
        <v>99.867237499999987</v>
      </c>
    </row>
    <row r="717" spans="1:8" s="82" customFormat="1" ht="18.75" hidden="1" x14ac:dyDescent="0.2">
      <c r="A717" s="3" t="s">
        <v>548</v>
      </c>
      <c r="B717" s="2" t="s">
        <v>999</v>
      </c>
      <c r="C717" s="2" t="s">
        <v>1041</v>
      </c>
      <c r="D717" s="2" t="s">
        <v>649</v>
      </c>
      <c r="E717" s="2" t="s">
        <v>67</v>
      </c>
      <c r="F717" s="62">
        <f>10000</f>
        <v>10000</v>
      </c>
      <c r="G717" s="62">
        <v>9986.7237499999992</v>
      </c>
      <c r="H717" s="97">
        <f t="shared" si="146"/>
        <v>99.867237499999987</v>
      </c>
    </row>
    <row r="718" spans="1:8" ht="47.25" x14ac:dyDescent="0.2">
      <c r="A718" s="140" t="s">
        <v>869</v>
      </c>
      <c r="B718" s="148" t="s">
        <v>999</v>
      </c>
      <c r="C718" s="148" t="s">
        <v>1041</v>
      </c>
      <c r="D718" s="148" t="s">
        <v>870</v>
      </c>
      <c r="E718" s="148"/>
      <c r="F718" s="144">
        <f t="shared" si="159"/>
        <v>487</v>
      </c>
      <c r="G718" s="144">
        <f t="shared" si="159"/>
        <v>406.8125</v>
      </c>
      <c r="H718" s="131">
        <f t="shared" si="146"/>
        <v>83.534394250513344</v>
      </c>
    </row>
    <row r="719" spans="1:8" ht="18.75" x14ac:dyDescent="0.2">
      <c r="A719" s="145" t="s">
        <v>871</v>
      </c>
      <c r="B719" s="141" t="s">
        <v>999</v>
      </c>
      <c r="C719" s="141" t="s">
        <v>1041</v>
      </c>
      <c r="D719" s="141" t="s">
        <v>870</v>
      </c>
      <c r="E719" s="141" t="s">
        <v>15</v>
      </c>
      <c r="F719" s="147">
        <f t="shared" si="159"/>
        <v>487</v>
      </c>
      <c r="G719" s="147">
        <f t="shared" si="159"/>
        <v>406.8125</v>
      </c>
      <c r="H719" s="131">
        <f t="shared" si="146"/>
        <v>83.534394250513344</v>
      </c>
    </row>
    <row r="720" spans="1:8" ht="31.5" x14ac:dyDescent="0.2">
      <c r="A720" s="145" t="s">
        <v>17</v>
      </c>
      <c r="B720" s="141" t="s">
        <v>999</v>
      </c>
      <c r="C720" s="141" t="s">
        <v>1041</v>
      </c>
      <c r="D720" s="141" t="s">
        <v>870</v>
      </c>
      <c r="E720" s="141" t="s">
        <v>16</v>
      </c>
      <c r="F720" s="147">
        <f t="shared" si="159"/>
        <v>487</v>
      </c>
      <c r="G720" s="147">
        <f t="shared" si="159"/>
        <v>406.8125</v>
      </c>
      <c r="H720" s="131">
        <f t="shared" ref="H720:H770" si="160">G720/F720*100</f>
        <v>83.534394250513344</v>
      </c>
    </row>
    <row r="721" spans="1:8" s="82" customFormat="1" ht="18.75" hidden="1" x14ac:dyDescent="0.2">
      <c r="A721" s="3" t="s">
        <v>548</v>
      </c>
      <c r="B721" s="2" t="s">
        <v>999</v>
      </c>
      <c r="C721" s="2" t="s">
        <v>1041</v>
      </c>
      <c r="D721" s="2" t="s">
        <v>870</v>
      </c>
      <c r="E721" s="2" t="s">
        <v>67</v>
      </c>
      <c r="F721" s="62">
        <f>3600-3113</f>
        <v>487</v>
      </c>
      <c r="G721" s="62">
        <v>406.8125</v>
      </c>
      <c r="H721" s="97">
        <f t="shared" si="160"/>
        <v>83.534394250513344</v>
      </c>
    </row>
    <row r="722" spans="1:8" ht="31.5" x14ac:dyDescent="0.2">
      <c r="A722" s="132" t="s">
        <v>1043</v>
      </c>
      <c r="B722" s="133" t="s">
        <v>999</v>
      </c>
      <c r="C722" s="133" t="s">
        <v>1041</v>
      </c>
      <c r="D722" s="133" t="s">
        <v>342</v>
      </c>
      <c r="E722" s="133"/>
      <c r="F722" s="134">
        <f>F728+F733+F723</f>
        <v>5490</v>
      </c>
      <c r="G722" s="134">
        <f>G728+G733+G723</f>
        <v>5489.1223300000001</v>
      </c>
      <c r="H722" s="131">
        <f t="shared" si="160"/>
        <v>99.984013296903456</v>
      </c>
    </row>
    <row r="723" spans="1:8" ht="47.25" x14ac:dyDescent="0.3">
      <c r="A723" s="132" t="s">
        <v>948</v>
      </c>
      <c r="B723" s="211" t="s">
        <v>999</v>
      </c>
      <c r="C723" s="211" t="s">
        <v>1041</v>
      </c>
      <c r="D723" s="223" t="s">
        <v>949</v>
      </c>
      <c r="E723" s="223"/>
      <c r="F723" s="224">
        <f>F724</f>
        <v>4898</v>
      </c>
      <c r="G723" s="224">
        <f>G724</f>
        <v>4897.1723300000003</v>
      </c>
      <c r="H723" s="131">
        <f t="shared" si="160"/>
        <v>99.983101878317697</v>
      </c>
    </row>
    <row r="724" spans="1:8" ht="31.5" x14ac:dyDescent="0.25">
      <c r="A724" s="167" t="s">
        <v>950</v>
      </c>
      <c r="B724" s="225" t="s">
        <v>999</v>
      </c>
      <c r="C724" s="225" t="s">
        <v>1041</v>
      </c>
      <c r="D724" s="226" t="s">
        <v>951</v>
      </c>
      <c r="E724" s="226"/>
      <c r="F724" s="227">
        <f>F725</f>
        <v>4898</v>
      </c>
      <c r="G724" s="227">
        <f t="shared" ref="G724" si="161">G725</f>
        <v>4897.1723300000003</v>
      </c>
      <c r="H724" s="131">
        <f t="shared" si="160"/>
        <v>99.983101878317697</v>
      </c>
    </row>
    <row r="725" spans="1:8" ht="18.75" x14ac:dyDescent="0.25">
      <c r="A725" s="145" t="s">
        <v>871</v>
      </c>
      <c r="B725" s="219" t="s">
        <v>999</v>
      </c>
      <c r="C725" s="219" t="s">
        <v>1041</v>
      </c>
      <c r="D725" s="228" t="s">
        <v>951</v>
      </c>
      <c r="E725" s="228" t="s">
        <v>15</v>
      </c>
      <c r="F725" s="229">
        <f t="shared" ref="F725:G726" si="162">F726</f>
        <v>4898</v>
      </c>
      <c r="G725" s="230">
        <f t="shared" si="162"/>
        <v>4897.1723300000003</v>
      </c>
      <c r="H725" s="131">
        <f t="shared" si="160"/>
        <v>99.983101878317697</v>
      </c>
    </row>
    <row r="726" spans="1:8" ht="31.5" x14ac:dyDescent="0.25">
      <c r="A726" s="165" t="s">
        <v>17</v>
      </c>
      <c r="B726" s="231" t="s">
        <v>999</v>
      </c>
      <c r="C726" s="231" t="s">
        <v>1041</v>
      </c>
      <c r="D726" s="228" t="s">
        <v>951</v>
      </c>
      <c r="E726" s="228" t="s">
        <v>16</v>
      </c>
      <c r="F726" s="229">
        <f t="shared" si="162"/>
        <v>4898</v>
      </c>
      <c r="G726" s="230">
        <f t="shared" si="162"/>
        <v>4897.1723300000003</v>
      </c>
      <c r="H726" s="131">
        <f t="shared" si="160"/>
        <v>99.983101878317697</v>
      </c>
    </row>
    <row r="727" spans="1:8" s="82" customFormat="1" ht="31.5" hidden="1" x14ac:dyDescent="0.25">
      <c r="A727" s="8" t="s">
        <v>389</v>
      </c>
      <c r="B727" s="50" t="s">
        <v>999</v>
      </c>
      <c r="C727" s="50" t="s">
        <v>1041</v>
      </c>
      <c r="D727" s="17" t="s">
        <v>951</v>
      </c>
      <c r="E727" s="17" t="s">
        <v>368</v>
      </c>
      <c r="F727" s="93">
        <f>500+4400-2</f>
        <v>4898</v>
      </c>
      <c r="G727" s="98">
        <v>4897.1723300000003</v>
      </c>
      <c r="H727" s="97">
        <f t="shared" si="160"/>
        <v>99.983101878317697</v>
      </c>
    </row>
    <row r="728" spans="1:8" ht="31.5" x14ac:dyDescent="0.2">
      <c r="A728" s="132" t="s">
        <v>771</v>
      </c>
      <c r="B728" s="133" t="s">
        <v>999</v>
      </c>
      <c r="C728" s="133" t="s">
        <v>1041</v>
      </c>
      <c r="D728" s="133" t="s">
        <v>615</v>
      </c>
      <c r="E728" s="133"/>
      <c r="F728" s="232">
        <f>F729</f>
        <v>385</v>
      </c>
      <c r="G728" s="232">
        <f>G729</f>
        <v>384.95</v>
      </c>
      <c r="H728" s="131">
        <f t="shared" si="160"/>
        <v>99.987012987012974</v>
      </c>
    </row>
    <row r="729" spans="1:8" ht="47.25" x14ac:dyDescent="0.2">
      <c r="A729" s="140" t="s">
        <v>1044</v>
      </c>
      <c r="B729" s="148" t="s">
        <v>999</v>
      </c>
      <c r="C729" s="148" t="s">
        <v>1041</v>
      </c>
      <c r="D729" s="148" t="s">
        <v>760</v>
      </c>
      <c r="E729" s="148"/>
      <c r="F729" s="144">
        <f t="shared" ref="F729:G731" si="163">F730</f>
        <v>385</v>
      </c>
      <c r="G729" s="144">
        <f t="shared" si="163"/>
        <v>384.95</v>
      </c>
      <c r="H729" s="131">
        <f t="shared" si="160"/>
        <v>99.987012987012974</v>
      </c>
    </row>
    <row r="730" spans="1:8" ht="18.75" x14ac:dyDescent="0.2">
      <c r="A730" s="145" t="s">
        <v>871</v>
      </c>
      <c r="B730" s="141" t="s">
        <v>999</v>
      </c>
      <c r="C730" s="141" t="s">
        <v>1041</v>
      </c>
      <c r="D730" s="141" t="s">
        <v>760</v>
      </c>
      <c r="E730" s="141" t="s">
        <v>15</v>
      </c>
      <c r="F730" s="147">
        <f t="shared" si="163"/>
        <v>385</v>
      </c>
      <c r="G730" s="147">
        <f t="shared" si="163"/>
        <v>384.95</v>
      </c>
      <c r="H730" s="131">
        <f t="shared" si="160"/>
        <v>99.987012987012974</v>
      </c>
    </row>
    <row r="731" spans="1:8" ht="31.5" x14ac:dyDescent="0.2">
      <c r="A731" s="145" t="s">
        <v>17</v>
      </c>
      <c r="B731" s="141" t="s">
        <v>999</v>
      </c>
      <c r="C731" s="141" t="s">
        <v>1041</v>
      </c>
      <c r="D731" s="141" t="s">
        <v>760</v>
      </c>
      <c r="E731" s="141" t="s">
        <v>16</v>
      </c>
      <c r="F731" s="147">
        <f t="shared" si="163"/>
        <v>385</v>
      </c>
      <c r="G731" s="147">
        <f t="shared" si="163"/>
        <v>384.95</v>
      </c>
      <c r="H731" s="131">
        <f t="shared" si="160"/>
        <v>99.987012987012974</v>
      </c>
    </row>
    <row r="732" spans="1:8" s="82" customFormat="1" ht="18.75" hidden="1" x14ac:dyDescent="0.2">
      <c r="A732" s="3" t="s">
        <v>548</v>
      </c>
      <c r="B732" s="2" t="s">
        <v>999</v>
      </c>
      <c r="C732" s="2" t="s">
        <v>1041</v>
      </c>
      <c r="D732" s="2" t="s">
        <v>760</v>
      </c>
      <c r="E732" s="2" t="s">
        <v>67</v>
      </c>
      <c r="F732" s="10">
        <f>5000-4600-15</f>
        <v>385</v>
      </c>
      <c r="G732" s="10">
        <v>384.95</v>
      </c>
      <c r="H732" s="97">
        <f t="shared" si="160"/>
        <v>99.987012987012974</v>
      </c>
    </row>
    <row r="733" spans="1:8" ht="63" x14ac:dyDescent="0.2">
      <c r="A733" s="132" t="s">
        <v>626</v>
      </c>
      <c r="B733" s="133" t="s">
        <v>999</v>
      </c>
      <c r="C733" s="133" t="s">
        <v>1041</v>
      </c>
      <c r="D733" s="133" t="s">
        <v>627</v>
      </c>
      <c r="E733" s="133"/>
      <c r="F733" s="134">
        <f t="shared" ref="F733:G736" si="164">F734</f>
        <v>207</v>
      </c>
      <c r="G733" s="134">
        <f t="shared" si="164"/>
        <v>207</v>
      </c>
      <c r="H733" s="131">
        <f t="shared" si="160"/>
        <v>100</v>
      </c>
    </row>
    <row r="734" spans="1:8" ht="47.25" x14ac:dyDescent="0.2">
      <c r="A734" s="140" t="s">
        <v>628</v>
      </c>
      <c r="B734" s="148" t="s">
        <v>999</v>
      </c>
      <c r="C734" s="148" t="s">
        <v>1041</v>
      </c>
      <c r="D734" s="148" t="s">
        <v>629</v>
      </c>
      <c r="E734" s="148"/>
      <c r="F734" s="144">
        <f t="shared" si="164"/>
        <v>207</v>
      </c>
      <c r="G734" s="144">
        <f t="shared" si="164"/>
        <v>207</v>
      </c>
      <c r="H734" s="131">
        <f t="shared" si="160"/>
        <v>100</v>
      </c>
    </row>
    <row r="735" spans="1:8" ht="18.75" x14ac:dyDescent="0.2">
      <c r="A735" s="150" t="s">
        <v>871</v>
      </c>
      <c r="B735" s="141" t="s">
        <v>999</v>
      </c>
      <c r="C735" s="141" t="s">
        <v>1041</v>
      </c>
      <c r="D735" s="141" t="s">
        <v>629</v>
      </c>
      <c r="E735" s="141" t="s">
        <v>15</v>
      </c>
      <c r="F735" s="147">
        <f t="shared" si="164"/>
        <v>207</v>
      </c>
      <c r="G735" s="147">
        <f t="shared" si="164"/>
        <v>207</v>
      </c>
      <c r="H735" s="131">
        <f t="shared" si="160"/>
        <v>100</v>
      </c>
    </row>
    <row r="736" spans="1:8" ht="31.5" x14ac:dyDescent="0.2">
      <c r="A736" s="150" t="s">
        <v>17</v>
      </c>
      <c r="B736" s="141" t="s">
        <v>999</v>
      </c>
      <c r="C736" s="141" t="s">
        <v>1041</v>
      </c>
      <c r="D736" s="141" t="s">
        <v>629</v>
      </c>
      <c r="E736" s="141" t="s">
        <v>16</v>
      </c>
      <c r="F736" s="147">
        <f t="shared" si="164"/>
        <v>207</v>
      </c>
      <c r="G736" s="147">
        <f t="shared" si="164"/>
        <v>207</v>
      </c>
      <c r="H736" s="131">
        <f t="shared" si="160"/>
        <v>100</v>
      </c>
    </row>
    <row r="737" spans="1:11" s="82" customFormat="1" ht="18.75" hidden="1" x14ac:dyDescent="0.2">
      <c r="A737" s="3" t="s">
        <v>548</v>
      </c>
      <c r="B737" s="2" t="s">
        <v>999</v>
      </c>
      <c r="C737" s="2" t="s">
        <v>1041</v>
      </c>
      <c r="D737" s="2" t="s">
        <v>629</v>
      </c>
      <c r="E737" s="2" t="s">
        <v>67</v>
      </c>
      <c r="F737" s="62">
        <f>31713-527-6037-24942</f>
        <v>207</v>
      </c>
      <c r="G737" s="62">
        <v>207</v>
      </c>
      <c r="H737" s="97">
        <f t="shared" si="160"/>
        <v>100</v>
      </c>
    </row>
    <row r="738" spans="1:11" ht="18.75" x14ac:dyDescent="0.2">
      <c r="A738" s="128" t="s">
        <v>1045</v>
      </c>
      <c r="B738" s="129" t="s">
        <v>1046</v>
      </c>
      <c r="C738" s="129"/>
      <c r="D738" s="129"/>
      <c r="E738" s="129"/>
      <c r="F738" s="130">
        <f>F739+F805+F913+F1114</f>
        <v>5009523.8270700006</v>
      </c>
      <c r="G738" s="130">
        <f>G739+G805+G913+G1114</f>
        <v>4642915.8362600002</v>
      </c>
      <c r="H738" s="131">
        <f t="shared" si="160"/>
        <v>92.681779676763725</v>
      </c>
      <c r="I738" s="96">
        <f>4642915.83626-G738</f>
        <v>0</v>
      </c>
      <c r="K738" s="96">
        <f>4642915.83626-G738</f>
        <v>0</v>
      </c>
    </row>
    <row r="739" spans="1:11" ht="18.75" x14ac:dyDescent="0.2">
      <c r="A739" s="132" t="s">
        <v>1047</v>
      </c>
      <c r="B739" s="133" t="s">
        <v>1046</v>
      </c>
      <c r="C739" s="133" t="s">
        <v>992</v>
      </c>
      <c r="D739" s="133"/>
      <c r="E739" s="133"/>
      <c r="F739" s="134">
        <f>F740+F747+F754+F773+F795</f>
        <v>123060.75149</v>
      </c>
      <c r="G739" s="134">
        <f>G740+G747+G754+G773+G795</f>
        <v>114872.41136</v>
      </c>
      <c r="H739" s="131">
        <f t="shared" si="160"/>
        <v>93.346099360797922</v>
      </c>
      <c r="I739" s="96">
        <f>114872.41136-G739</f>
        <v>0</v>
      </c>
      <c r="K739" s="96">
        <f>114872.41136-G739</f>
        <v>0</v>
      </c>
    </row>
    <row r="740" spans="1:11" ht="31.5" x14ac:dyDescent="0.2">
      <c r="A740" s="132" t="s">
        <v>1048</v>
      </c>
      <c r="B740" s="133" t="s">
        <v>1046</v>
      </c>
      <c r="C740" s="133" t="s">
        <v>992</v>
      </c>
      <c r="D740" s="133" t="s">
        <v>562</v>
      </c>
      <c r="E740" s="133"/>
      <c r="F740" s="134">
        <f t="shared" ref="F740:G745" si="165">F741</f>
        <v>962.49149000000011</v>
      </c>
      <c r="G740" s="134">
        <f t="shared" si="165"/>
        <v>962.49149</v>
      </c>
      <c r="H740" s="131">
        <f t="shared" si="160"/>
        <v>99.999999999999986</v>
      </c>
    </row>
    <row r="741" spans="1:11" ht="31.5" x14ac:dyDescent="0.2">
      <c r="A741" s="135" t="s">
        <v>608</v>
      </c>
      <c r="B741" s="136" t="s">
        <v>1046</v>
      </c>
      <c r="C741" s="136" t="s">
        <v>992</v>
      </c>
      <c r="D741" s="137" t="s">
        <v>577</v>
      </c>
      <c r="E741" s="136"/>
      <c r="F741" s="138">
        <f t="shared" si="165"/>
        <v>962.49149000000011</v>
      </c>
      <c r="G741" s="138">
        <f t="shared" si="165"/>
        <v>962.49149</v>
      </c>
      <c r="H741" s="131">
        <f t="shared" si="160"/>
        <v>99.999999999999986</v>
      </c>
    </row>
    <row r="742" spans="1:11" ht="31.5" x14ac:dyDescent="0.2">
      <c r="A742" s="132" t="s">
        <v>609</v>
      </c>
      <c r="B742" s="133" t="s">
        <v>1046</v>
      </c>
      <c r="C742" s="133" t="s">
        <v>992</v>
      </c>
      <c r="D742" s="139" t="s">
        <v>578</v>
      </c>
      <c r="E742" s="141"/>
      <c r="F742" s="134">
        <f t="shared" si="165"/>
        <v>962.49149000000011</v>
      </c>
      <c r="G742" s="134">
        <f t="shared" si="165"/>
        <v>962.49149</v>
      </c>
      <c r="H742" s="131">
        <f t="shared" si="160"/>
        <v>99.999999999999986</v>
      </c>
    </row>
    <row r="743" spans="1:11" ht="47.25" x14ac:dyDescent="0.2">
      <c r="A743" s="155" t="s">
        <v>584</v>
      </c>
      <c r="B743" s="148" t="s">
        <v>1046</v>
      </c>
      <c r="C743" s="148" t="s">
        <v>992</v>
      </c>
      <c r="D743" s="148" t="s">
        <v>581</v>
      </c>
      <c r="E743" s="148"/>
      <c r="F743" s="144">
        <f t="shared" si="165"/>
        <v>962.49149000000011</v>
      </c>
      <c r="G743" s="144">
        <f t="shared" si="165"/>
        <v>962.49149</v>
      </c>
      <c r="H743" s="131">
        <f t="shared" si="160"/>
        <v>99.999999999999986</v>
      </c>
    </row>
    <row r="744" spans="1:11" ht="18.75" x14ac:dyDescent="0.2">
      <c r="A744" s="157" t="s">
        <v>871</v>
      </c>
      <c r="B744" s="141" t="s">
        <v>1046</v>
      </c>
      <c r="C744" s="141" t="s">
        <v>992</v>
      </c>
      <c r="D744" s="141" t="s">
        <v>581</v>
      </c>
      <c r="E744" s="141" t="s">
        <v>15</v>
      </c>
      <c r="F744" s="147">
        <f t="shared" si="165"/>
        <v>962.49149000000011</v>
      </c>
      <c r="G744" s="147">
        <f t="shared" si="165"/>
        <v>962.49149</v>
      </c>
      <c r="H744" s="131">
        <f t="shared" si="160"/>
        <v>99.999999999999986</v>
      </c>
    </row>
    <row r="745" spans="1:11" ht="31.5" x14ac:dyDescent="0.2">
      <c r="A745" s="157" t="s">
        <v>17</v>
      </c>
      <c r="B745" s="141" t="s">
        <v>1046</v>
      </c>
      <c r="C745" s="141" t="s">
        <v>992</v>
      </c>
      <c r="D745" s="141" t="s">
        <v>581</v>
      </c>
      <c r="E745" s="141" t="s">
        <v>16</v>
      </c>
      <c r="F745" s="147">
        <f t="shared" si="165"/>
        <v>962.49149000000011</v>
      </c>
      <c r="G745" s="147">
        <f t="shared" si="165"/>
        <v>962.49149</v>
      </c>
      <c r="H745" s="131">
        <f t="shared" si="160"/>
        <v>99.999999999999986</v>
      </c>
    </row>
    <row r="746" spans="1:11" s="82" customFormat="1" ht="18.75" hidden="1" x14ac:dyDescent="0.2">
      <c r="A746" s="28" t="s">
        <v>549</v>
      </c>
      <c r="B746" s="2" t="s">
        <v>1046</v>
      </c>
      <c r="C746" s="2" t="s">
        <v>992</v>
      </c>
      <c r="D746" s="2" t="s">
        <v>581</v>
      </c>
      <c r="E746" s="2" t="s">
        <v>67</v>
      </c>
      <c r="F746" s="10">
        <f>2000-1037.50851</f>
        <v>962.49149000000011</v>
      </c>
      <c r="G746" s="10">
        <v>962.49149</v>
      </c>
      <c r="H746" s="97">
        <f t="shared" si="160"/>
        <v>99.999999999999986</v>
      </c>
    </row>
    <row r="747" spans="1:11" ht="31.5" x14ac:dyDescent="0.2">
      <c r="A747" s="132" t="s">
        <v>1023</v>
      </c>
      <c r="B747" s="133" t="s">
        <v>1046</v>
      </c>
      <c r="C747" s="133" t="s">
        <v>992</v>
      </c>
      <c r="D747" s="133" t="s">
        <v>178</v>
      </c>
      <c r="E747" s="133"/>
      <c r="F747" s="134">
        <f t="shared" ref="F747:G752" si="166">F748</f>
        <v>2860</v>
      </c>
      <c r="G747" s="134">
        <f t="shared" si="166"/>
        <v>2759.5907400000001</v>
      </c>
      <c r="H747" s="131">
        <f t="shared" si="160"/>
        <v>96.489186713286713</v>
      </c>
    </row>
    <row r="748" spans="1:11" ht="18.75" x14ac:dyDescent="0.2">
      <c r="A748" s="135" t="s">
        <v>329</v>
      </c>
      <c r="B748" s="136" t="s">
        <v>1046</v>
      </c>
      <c r="C748" s="136" t="s">
        <v>992</v>
      </c>
      <c r="D748" s="137" t="s">
        <v>331</v>
      </c>
      <c r="E748" s="136"/>
      <c r="F748" s="138">
        <f t="shared" si="166"/>
        <v>2860</v>
      </c>
      <c r="G748" s="138">
        <f t="shared" si="166"/>
        <v>2759.5907400000001</v>
      </c>
      <c r="H748" s="131">
        <f t="shared" si="160"/>
        <v>96.489186713286713</v>
      </c>
    </row>
    <row r="749" spans="1:11" ht="47.25" x14ac:dyDescent="0.2">
      <c r="A749" s="132" t="s">
        <v>332</v>
      </c>
      <c r="B749" s="133" t="s">
        <v>1046</v>
      </c>
      <c r="C749" s="133" t="s">
        <v>992</v>
      </c>
      <c r="D749" s="137" t="s">
        <v>330</v>
      </c>
      <c r="E749" s="141"/>
      <c r="F749" s="222">
        <f t="shared" si="166"/>
        <v>2860</v>
      </c>
      <c r="G749" s="222">
        <f t="shared" si="166"/>
        <v>2759.5907400000001</v>
      </c>
      <c r="H749" s="131">
        <f t="shared" si="160"/>
        <v>96.489186713286713</v>
      </c>
    </row>
    <row r="750" spans="1:11" ht="63" x14ac:dyDescent="0.2">
      <c r="A750" s="140" t="s">
        <v>435</v>
      </c>
      <c r="B750" s="148" t="s">
        <v>1046</v>
      </c>
      <c r="C750" s="148" t="s">
        <v>992</v>
      </c>
      <c r="D750" s="142" t="s">
        <v>333</v>
      </c>
      <c r="E750" s="141"/>
      <c r="F750" s="156">
        <f t="shared" si="166"/>
        <v>2860</v>
      </c>
      <c r="G750" s="156">
        <f t="shared" si="166"/>
        <v>2759.5907400000001</v>
      </c>
      <c r="H750" s="131">
        <f t="shared" si="160"/>
        <v>96.489186713286713</v>
      </c>
    </row>
    <row r="751" spans="1:11" ht="18.75" x14ac:dyDescent="0.2">
      <c r="A751" s="145" t="s">
        <v>871</v>
      </c>
      <c r="B751" s="141" t="s">
        <v>1046</v>
      </c>
      <c r="C751" s="141" t="s">
        <v>992</v>
      </c>
      <c r="D751" s="141" t="s">
        <v>333</v>
      </c>
      <c r="E751" s="141" t="s">
        <v>15</v>
      </c>
      <c r="F751" s="158">
        <f t="shared" si="166"/>
        <v>2860</v>
      </c>
      <c r="G751" s="158">
        <f t="shared" si="166"/>
        <v>2759.5907400000001</v>
      </c>
      <c r="H751" s="131">
        <f t="shared" si="160"/>
        <v>96.489186713286713</v>
      </c>
    </row>
    <row r="752" spans="1:11" ht="31.5" x14ac:dyDescent="0.2">
      <c r="A752" s="145" t="s">
        <v>17</v>
      </c>
      <c r="B752" s="141" t="s">
        <v>1046</v>
      </c>
      <c r="C752" s="141" t="s">
        <v>992</v>
      </c>
      <c r="D752" s="141" t="s">
        <v>333</v>
      </c>
      <c r="E752" s="141" t="s">
        <v>16</v>
      </c>
      <c r="F752" s="158">
        <f t="shared" si="166"/>
        <v>2860</v>
      </c>
      <c r="G752" s="158">
        <f t="shared" si="166"/>
        <v>2759.5907400000001</v>
      </c>
      <c r="H752" s="131">
        <f t="shared" si="160"/>
        <v>96.489186713286713</v>
      </c>
    </row>
    <row r="753" spans="1:8" s="82" customFormat="1" ht="18.75" hidden="1" x14ac:dyDescent="0.2">
      <c r="A753" s="3" t="s">
        <v>549</v>
      </c>
      <c r="B753" s="2" t="s">
        <v>1046</v>
      </c>
      <c r="C753" s="2" t="s">
        <v>992</v>
      </c>
      <c r="D753" s="2" t="s">
        <v>333</v>
      </c>
      <c r="E753" s="2" t="s">
        <v>67</v>
      </c>
      <c r="F753" s="14">
        <f>10542-527-6661-494</f>
        <v>2860</v>
      </c>
      <c r="G753" s="10">
        <v>2759.5907400000001</v>
      </c>
      <c r="H753" s="97">
        <f t="shared" si="160"/>
        <v>96.489186713286713</v>
      </c>
    </row>
    <row r="754" spans="1:8" ht="31.5" x14ac:dyDescent="0.2">
      <c r="A754" s="132" t="s">
        <v>1028</v>
      </c>
      <c r="B754" s="133" t="s">
        <v>1046</v>
      </c>
      <c r="C754" s="133" t="s">
        <v>992</v>
      </c>
      <c r="D754" s="133" t="s">
        <v>169</v>
      </c>
      <c r="E754" s="133"/>
      <c r="F754" s="134">
        <f>F755</f>
        <v>44612.5</v>
      </c>
      <c r="G754" s="134">
        <f t="shared" ref="G754" si="167">G755</f>
        <v>43431.819520000005</v>
      </c>
      <c r="H754" s="131">
        <f t="shared" si="160"/>
        <v>97.353476088540219</v>
      </c>
    </row>
    <row r="755" spans="1:8" ht="31.5" x14ac:dyDescent="0.2">
      <c r="A755" s="132" t="s">
        <v>630</v>
      </c>
      <c r="B755" s="136" t="s">
        <v>1046</v>
      </c>
      <c r="C755" s="136" t="s">
        <v>992</v>
      </c>
      <c r="D755" s="139" t="s">
        <v>631</v>
      </c>
      <c r="E755" s="136"/>
      <c r="F755" s="179">
        <f>F756+F760</f>
        <v>44612.5</v>
      </c>
      <c r="G755" s="179">
        <f t="shared" ref="G755" si="168">G756+G760</f>
        <v>43431.819520000005</v>
      </c>
      <c r="H755" s="131">
        <f t="shared" si="160"/>
        <v>97.353476088540219</v>
      </c>
    </row>
    <row r="756" spans="1:8" ht="18.75" x14ac:dyDescent="0.2">
      <c r="A756" s="140" t="s">
        <v>632</v>
      </c>
      <c r="B756" s="148" t="s">
        <v>1046</v>
      </c>
      <c r="C756" s="148" t="s">
        <v>992</v>
      </c>
      <c r="D756" s="142" t="s">
        <v>633</v>
      </c>
      <c r="E756" s="148"/>
      <c r="F756" s="183">
        <f t="shared" ref="F756:G758" si="169">F757</f>
        <v>69.5</v>
      </c>
      <c r="G756" s="183">
        <f t="shared" si="169"/>
        <v>69.478999999999999</v>
      </c>
      <c r="H756" s="131">
        <f t="shared" si="160"/>
        <v>99.969784172661875</v>
      </c>
    </row>
    <row r="757" spans="1:8" ht="18.75" x14ac:dyDescent="0.2">
      <c r="A757" s="145" t="s">
        <v>871</v>
      </c>
      <c r="B757" s="141" t="s">
        <v>1046</v>
      </c>
      <c r="C757" s="141" t="s">
        <v>992</v>
      </c>
      <c r="D757" s="142" t="s">
        <v>633</v>
      </c>
      <c r="E757" s="141" t="s">
        <v>15</v>
      </c>
      <c r="F757" s="160">
        <f t="shared" si="169"/>
        <v>69.5</v>
      </c>
      <c r="G757" s="160">
        <f t="shared" si="169"/>
        <v>69.478999999999999</v>
      </c>
      <c r="H757" s="131">
        <f t="shared" si="160"/>
        <v>99.969784172661875</v>
      </c>
    </row>
    <row r="758" spans="1:8" ht="31.5" x14ac:dyDescent="0.2">
      <c r="A758" s="145" t="s">
        <v>17</v>
      </c>
      <c r="B758" s="141" t="s">
        <v>1046</v>
      </c>
      <c r="C758" s="141" t="s">
        <v>992</v>
      </c>
      <c r="D758" s="142" t="s">
        <v>633</v>
      </c>
      <c r="E758" s="141" t="s">
        <v>16</v>
      </c>
      <c r="F758" s="160">
        <f t="shared" si="169"/>
        <v>69.5</v>
      </c>
      <c r="G758" s="160">
        <f t="shared" si="169"/>
        <v>69.478999999999999</v>
      </c>
      <c r="H758" s="131">
        <f t="shared" si="160"/>
        <v>99.969784172661875</v>
      </c>
    </row>
    <row r="759" spans="1:8" s="82" customFormat="1" ht="18.75" hidden="1" x14ac:dyDescent="0.2">
      <c r="A759" s="3" t="s">
        <v>548</v>
      </c>
      <c r="B759" s="2" t="s">
        <v>1046</v>
      </c>
      <c r="C759" s="2" t="s">
        <v>992</v>
      </c>
      <c r="D759" s="4" t="s">
        <v>633</v>
      </c>
      <c r="E759" s="2" t="s">
        <v>67</v>
      </c>
      <c r="F759" s="62">
        <f>400-200-170+6+33.5</f>
        <v>69.5</v>
      </c>
      <c r="G759" s="62">
        <v>69.478999999999999</v>
      </c>
      <c r="H759" s="97">
        <f t="shared" si="160"/>
        <v>99.969784172661875</v>
      </c>
    </row>
    <row r="760" spans="1:8" ht="18.75" x14ac:dyDescent="0.2">
      <c r="A760" s="145" t="s">
        <v>634</v>
      </c>
      <c r="B760" s="141" t="s">
        <v>1046</v>
      </c>
      <c r="C760" s="141" t="s">
        <v>992</v>
      </c>
      <c r="D760" s="146" t="s">
        <v>635</v>
      </c>
      <c r="E760" s="141"/>
      <c r="F760" s="160">
        <f>F761+F765+F769</f>
        <v>44543</v>
      </c>
      <c r="G760" s="160">
        <f t="shared" ref="G760" si="170">G761+G765+G769</f>
        <v>43362.340520000005</v>
      </c>
      <c r="H760" s="131">
        <f t="shared" si="160"/>
        <v>97.349393889051044</v>
      </c>
    </row>
    <row r="761" spans="1:8" ht="18.75" x14ac:dyDescent="0.2">
      <c r="A761" s="140" t="s">
        <v>763</v>
      </c>
      <c r="B761" s="148" t="s">
        <v>1046</v>
      </c>
      <c r="C761" s="148" t="s">
        <v>992</v>
      </c>
      <c r="D761" s="142" t="s">
        <v>636</v>
      </c>
      <c r="E761" s="148"/>
      <c r="F761" s="183">
        <f t="shared" ref="F761:G763" si="171">F762</f>
        <v>5863</v>
      </c>
      <c r="G761" s="183">
        <f t="shared" si="171"/>
        <v>4692.6146799999997</v>
      </c>
      <c r="H761" s="131">
        <f t="shared" si="160"/>
        <v>80.037773835920163</v>
      </c>
    </row>
    <row r="762" spans="1:8" ht="18.75" x14ac:dyDescent="0.2">
      <c r="A762" s="145" t="s">
        <v>871</v>
      </c>
      <c r="B762" s="141" t="s">
        <v>1046</v>
      </c>
      <c r="C762" s="141" t="s">
        <v>992</v>
      </c>
      <c r="D762" s="146" t="s">
        <v>636</v>
      </c>
      <c r="E762" s="141" t="s">
        <v>15</v>
      </c>
      <c r="F762" s="160">
        <f t="shared" si="171"/>
        <v>5863</v>
      </c>
      <c r="G762" s="160">
        <f t="shared" si="171"/>
        <v>4692.6146799999997</v>
      </c>
      <c r="H762" s="131">
        <f t="shared" si="160"/>
        <v>80.037773835920163</v>
      </c>
    </row>
    <row r="763" spans="1:8" ht="31.5" x14ac:dyDescent="0.2">
      <c r="A763" s="145" t="s">
        <v>17</v>
      </c>
      <c r="B763" s="141" t="s">
        <v>1046</v>
      </c>
      <c r="C763" s="141" t="s">
        <v>992</v>
      </c>
      <c r="D763" s="146" t="s">
        <v>636</v>
      </c>
      <c r="E763" s="141" t="s">
        <v>16</v>
      </c>
      <c r="F763" s="160">
        <f t="shared" si="171"/>
        <v>5863</v>
      </c>
      <c r="G763" s="160">
        <f t="shared" si="171"/>
        <v>4692.6146799999997</v>
      </c>
      <c r="H763" s="131">
        <f t="shared" si="160"/>
        <v>80.037773835920163</v>
      </c>
    </row>
    <row r="764" spans="1:8" s="82" customFormat="1" ht="18.75" hidden="1" x14ac:dyDescent="0.2">
      <c r="A764" s="3" t="s">
        <v>548</v>
      </c>
      <c r="B764" s="2" t="s">
        <v>1046</v>
      </c>
      <c r="C764" s="2" t="s">
        <v>992</v>
      </c>
      <c r="D764" s="4" t="s">
        <v>636</v>
      </c>
      <c r="E764" s="2" t="s">
        <v>67</v>
      </c>
      <c r="F764" s="62">
        <f>3921+3300+100-500-900+4-50-12</f>
        <v>5863</v>
      </c>
      <c r="G764" s="62">
        <v>4692.6146799999997</v>
      </c>
      <c r="H764" s="97">
        <f t="shared" si="160"/>
        <v>80.037773835920163</v>
      </c>
    </row>
    <row r="765" spans="1:8" ht="31.5" x14ac:dyDescent="0.2">
      <c r="A765" s="140" t="s">
        <v>759</v>
      </c>
      <c r="B765" s="148" t="s">
        <v>1046</v>
      </c>
      <c r="C765" s="148" t="s">
        <v>992</v>
      </c>
      <c r="D765" s="142" t="s">
        <v>638</v>
      </c>
      <c r="E765" s="141"/>
      <c r="F765" s="160">
        <f t="shared" ref="F765:G767" si="172">F766</f>
        <v>4240</v>
      </c>
      <c r="G765" s="160">
        <f t="shared" si="172"/>
        <v>4239.1957400000001</v>
      </c>
      <c r="H765" s="131">
        <f t="shared" si="160"/>
        <v>99.981031603773587</v>
      </c>
    </row>
    <row r="766" spans="1:8" ht="18.75" x14ac:dyDescent="0.2">
      <c r="A766" s="145" t="s">
        <v>871</v>
      </c>
      <c r="B766" s="141" t="s">
        <v>1046</v>
      </c>
      <c r="C766" s="141" t="s">
        <v>992</v>
      </c>
      <c r="D766" s="146" t="s">
        <v>638</v>
      </c>
      <c r="E766" s="141" t="s">
        <v>15</v>
      </c>
      <c r="F766" s="160">
        <f t="shared" si="172"/>
        <v>4240</v>
      </c>
      <c r="G766" s="160">
        <f t="shared" si="172"/>
        <v>4239.1957400000001</v>
      </c>
      <c r="H766" s="131">
        <f t="shared" si="160"/>
        <v>99.981031603773587</v>
      </c>
    </row>
    <row r="767" spans="1:8" ht="31.5" x14ac:dyDescent="0.2">
      <c r="A767" s="145" t="s">
        <v>17</v>
      </c>
      <c r="B767" s="141" t="s">
        <v>1046</v>
      </c>
      <c r="C767" s="141" t="s">
        <v>992</v>
      </c>
      <c r="D767" s="146" t="s">
        <v>638</v>
      </c>
      <c r="E767" s="141" t="s">
        <v>16</v>
      </c>
      <c r="F767" s="160">
        <f t="shared" si="172"/>
        <v>4240</v>
      </c>
      <c r="G767" s="160">
        <f t="shared" si="172"/>
        <v>4239.1957400000001</v>
      </c>
      <c r="H767" s="131">
        <f t="shared" si="160"/>
        <v>99.981031603773587</v>
      </c>
    </row>
    <row r="768" spans="1:8" s="82" customFormat="1" ht="18.75" hidden="1" x14ac:dyDescent="0.2">
      <c r="A768" s="3" t="s">
        <v>548</v>
      </c>
      <c r="B768" s="2" t="s">
        <v>1046</v>
      </c>
      <c r="C768" s="2" t="s">
        <v>992</v>
      </c>
      <c r="D768" s="4" t="s">
        <v>638</v>
      </c>
      <c r="E768" s="2" t="s">
        <v>67</v>
      </c>
      <c r="F768" s="62">
        <f>5500-1260</f>
        <v>4240</v>
      </c>
      <c r="G768" s="62">
        <v>4239.1957400000001</v>
      </c>
      <c r="H768" s="97">
        <f t="shared" si="160"/>
        <v>99.981031603773587</v>
      </c>
    </row>
    <row r="769" spans="1:9" ht="31.5" x14ac:dyDescent="0.2">
      <c r="A769" s="140" t="s">
        <v>639</v>
      </c>
      <c r="B769" s="148" t="s">
        <v>1046</v>
      </c>
      <c r="C769" s="148" t="s">
        <v>992</v>
      </c>
      <c r="D769" s="142" t="s">
        <v>640</v>
      </c>
      <c r="E769" s="148"/>
      <c r="F769" s="183">
        <f t="shared" ref="F769:G771" si="173">F770</f>
        <v>34440</v>
      </c>
      <c r="G769" s="183">
        <f t="shared" si="173"/>
        <v>34430.530100000004</v>
      </c>
      <c r="H769" s="131">
        <f t="shared" si="160"/>
        <v>99.97250319396052</v>
      </c>
    </row>
    <row r="770" spans="1:9" ht="18.75" x14ac:dyDescent="0.2">
      <c r="A770" s="145" t="s">
        <v>871</v>
      </c>
      <c r="B770" s="141" t="s">
        <v>1046</v>
      </c>
      <c r="C770" s="141" t="s">
        <v>992</v>
      </c>
      <c r="D770" s="146" t="s">
        <v>640</v>
      </c>
      <c r="E770" s="141" t="s">
        <v>15</v>
      </c>
      <c r="F770" s="160">
        <f t="shared" si="173"/>
        <v>34440</v>
      </c>
      <c r="G770" s="160">
        <f t="shared" si="173"/>
        <v>34430.530100000004</v>
      </c>
      <c r="H770" s="131">
        <f t="shared" si="160"/>
        <v>99.97250319396052</v>
      </c>
    </row>
    <row r="771" spans="1:9" ht="31.5" x14ac:dyDescent="0.2">
      <c r="A771" s="145" t="s">
        <v>17</v>
      </c>
      <c r="B771" s="141" t="s">
        <v>1046</v>
      </c>
      <c r="C771" s="141" t="s">
        <v>992</v>
      </c>
      <c r="D771" s="146" t="s">
        <v>640</v>
      </c>
      <c r="E771" s="141" t="s">
        <v>16</v>
      </c>
      <c r="F771" s="160">
        <f t="shared" si="173"/>
        <v>34440</v>
      </c>
      <c r="G771" s="160">
        <f t="shared" si="173"/>
        <v>34430.530100000004</v>
      </c>
      <c r="H771" s="131">
        <f t="shared" ref="H771:H806" si="174">G771/F771*100</f>
        <v>99.97250319396052</v>
      </c>
    </row>
    <row r="772" spans="1:9" s="82" customFormat="1" ht="18.75" hidden="1" x14ac:dyDescent="0.2">
      <c r="A772" s="3" t="s">
        <v>548</v>
      </c>
      <c r="B772" s="2" t="s">
        <v>1046</v>
      </c>
      <c r="C772" s="2" t="s">
        <v>992</v>
      </c>
      <c r="D772" s="4" t="s">
        <v>640</v>
      </c>
      <c r="E772" s="2" t="s">
        <v>67</v>
      </c>
      <c r="F772" s="62">
        <f>38000-1500-500+1500-1500-1560</f>
        <v>34440</v>
      </c>
      <c r="G772" s="62">
        <v>34430.530100000004</v>
      </c>
      <c r="H772" s="97">
        <f t="shared" si="174"/>
        <v>99.97250319396052</v>
      </c>
    </row>
    <row r="773" spans="1:9" ht="31.5" x14ac:dyDescent="0.2">
      <c r="A773" s="132" t="s">
        <v>1006</v>
      </c>
      <c r="B773" s="133" t="s">
        <v>1046</v>
      </c>
      <c r="C773" s="133" t="s">
        <v>992</v>
      </c>
      <c r="D773" s="133" t="s">
        <v>585</v>
      </c>
      <c r="E773" s="133"/>
      <c r="F773" s="134">
        <f>F774</f>
        <v>50002.36</v>
      </c>
      <c r="G773" s="134">
        <f>G774</f>
        <v>43143.018479999999</v>
      </c>
      <c r="H773" s="131">
        <f t="shared" si="174"/>
        <v>86.281964451277886</v>
      </c>
      <c r="I773" s="96">
        <f>43143.01848-G773</f>
        <v>0</v>
      </c>
    </row>
    <row r="774" spans="1:9" ht="18.75" x14ac:dyDescent="0.2">
      <c r="A774" s="135" t="s">
        <v>715</v>
      </c>
      <c r="B774" s="136" t="s">
        <v>1046</v>
      </c>
      <c r="C774" s="136" t="s">
        <v>992</v>
      </c>
      <c r="D774" s="137" t="s">
        <v>716</v>
      </c>
      <c r="E774" s="136"/>
      <c r="F774" s="138">
        <f>F775</f>
        <v>50002.36</v>
      </c>
      <c r="G774" s="138">
        <f>G775</f>
        <v>43143.018479999999</v>
      </c>
      <c r="H774" s="131">
        <f t="shared" si="174"/>
        <v>86.281964451277886</v>
      </c>
    </row>
    <row r="775" spans="1:9" ht="31.5" x14ac:dyDescent="0.2">
      <c r="A775" s="132" t="s">
        <v>586</v>
      </c>
      <c r="B775" s="133" t="s">
        <v>1046</v>
      </c>
      <c r="C775" s="133" t="s">
        <v>992</v>
      </c>
      <c r="D775" s="133" t="s">
        <v>734</v>
      </c>
      <c r="E775" s="133"/>
      <c r="F775" s="203">
        <f>F776+F783+F787+F791</f>
        <v>50002.36</v>
      </c>
      <c r="G775" s="203">
        <f>G776+G783+G787+G791</f>
        <v>43143.018479999999</v>
      </c>
      <c r="H775" s="131">
        <f t="shared" si="174"/>
        <v>86.281964451277886</v>
      </c>
    </row>
    <row r="776" spans="1:9" ht="18.75" x14ac:dyDescent="0.2">
      <c r="A776" s="140" t="s">
        <v>503</v>
      </c>
      <c r="B776" s="148" t="s">
        <v>1046</v>
      </c>
      <c r="C776" s="148" t="s">
        <v>992</v>
      </c>
      <c r="D776" s="148" t="s">
        <v>735</v>
      </c>
      <c r="E776" s="148"/>
      <c r="F776" s="183">
        <f>F780+F777</f>
        <v>6260</v>
      </c>
      <c r="G776" s="183">
        <f>G780+G777</f>
        <v>6256.7464600000003</v>
      </c>
      <c r="H776" s="131">
        <f t="shared" si="174"/>
        <v>99.94802651757189</v>
      </c>
    </row>
    <row r="777" spans="1:9" ht="31.5" x14ac:dyDescent="0.2">
      <c r="A777" s="145" t="s">
        <v>18</v>
      </c>
      <c r="B777" s="141" t="s">
        <v>1046</v>
      </c>
      <c r="C777" s="141" t="s">
        <v>992</v>
      </c>
      <c r="D777" s="141" t="s">
        <v>735</v>
      </c>
      <c r="E777" s="141" t="s">
        <v>20</v>
      </c>
      <c r="F777" s="168">
        <f>F778</f>
        <v>3180</v>
      </c>
      <c r="G777" s="168">
        <f>G778</f>
        <v>3179.7069999999999</v>
      </c>
      <c r="H777" s="131">
        <f t="shared" si="174"/>
        <v>99.990786163522003</v>
      </c>
    </row>
    <row r="778" spans="1:9" ht="31.5" x14ac:dyDescent="0.2">
      <c r="A778" s="145" t="s">
        <v>26</v>
      </c>
      <c r="B778" s="141" t="s">
        <v>1046</v>
      </c>
      <c r="C778" s="141" t="s">
        <v>992</v>
      </c>
      <c r="D778" s="141" t="s">
        <v>735</v>
      </c>
      <c r="E778" s="141" t="s">
        <v>0</v>
      </c>
      <c r="F778" s="168">
        <f>F779</f>
        <v>3180</v>
      </c>
      <c r="G778" s="168">
        <f>G779</f>
        <v>3179.7069999999999</v>
      </c>
      <c r="H778" s="131">
        <f t="shared" si="174"/>
        <v>99.990786163522003</v>
      </c>
    </row>
    <row r="779" spans="1:9" s="82" customFormat="1" ht="31.5" hidden="1" x14ac:dyDescent="0.2">
      <c r="A779" s="53" t="s">
        <v>654</v>
      </c>
      <c r="B779" s="2" t="s">
        <v>1046</v>
      </c>
      <c r="C779" s="2" t="s">
        <v>992</v>
      </c>
      <c r="D779" s="2" t="s">
        <v>735</v>
      </c>
      <c r="E779" s="2" t="s">
        <v>472</v>
      </c>
      <c r="F779" s="35">
        <v>3180</v>
      </c>
      <c r="G779" s="62">
        <v>3179.7069999999999</v>
      </c>
      <c r="H779" s="97">
        <f t="shared" si="174"/>
        <v>99.990786163522003</v>
      </c>
    </row>
    <row r="780" spans="1:9" ht="18.75" x14ac:dyDescent="0.2">
      <c r="A780" s="157" t="s">
        <v>13</v>
      </c>
      <c r="B780" s="141" t="s">
        <v>1046</v>
      </c>
      <c r="C780" s="141" t="s">
        <v>992</v>
      </c>
      <c r="D780" s="141" t="s">
        <v>735</v>
      </c>
      <c r="E780" s="141" t="s">
        <v>14</v>
      </c>
      <c r="F780" s="160">
        <f>F781</f>
        <v>3080</v>
      </c>
      <c r="G780" s="160">
        <f t="shared" ref="G780" si="175">G781</f>
        <v>3077.03946</v>
      </c>
      <c r="H780" s="131">
        <f t="shared" si="174"/>
        <v>99.903878571428578</v>
      </c>
    </row>
    <row r="781" spans="1:9" ht="47.25" x14ac:dyDescent="0.2">
      <c r="A781" s="145" t="s">
        <v>300</v>
      </c>
      <c r="B781" s="141" t="s">
        <v>1046</v>
      </c>
      <c r="C781" s="141" t="s">
        <v>992</v>
      </c>
      <c r="D781" s="141" t="s">
        <v>735</v>
      </c>
      <c r="E781" s="141" t="s">
        <v>12</v>
      </c>
      <c r="F781" s="160">
        <f>F782</f>
        <v>3080</v>
      </c>
      <c r="G781" s="160">
        <f>G782</f>
        <v>3077.03946</v>
      </c>
      <c r="H781" s="131">
        <f t="shared" si="174"/>
        <v>99.903878571428578</v>
      </c>
    </row>
    <row r="782" spans="1:9" s="82" customFormat="1" ht="47.25" hidden="1" x14ac:dyDescent="0.2">
      <c r="A782" s="60" t="s">
        <v>470</v>
      </c>
      <c r="B782" s="2" t="s">
        <v>1046</v>
      </c>
      <c r="C782" s="2" t="s">
        <v>992</v>
      </c>
      <c r="D782" s="2" t="s">
        <v>735</v>
      </c>
      <c r="E782" s="2" t="s">
        <v>473</v>
      </c>
      <c r="F782" s="62">
        <f>20000+6661-2645-22632+1696</f>
        <v>3080</v>
      </c>
      <c r="G782" s="62">
        <v>3077.03946</v>
      </c>
      <c r="H782" s="97">
        <f t="shared" si="174"/>
        <v>99.903878571428578</v>
      </c>
    </row>
    <row r="783" spans="1:9" ht="18.75" x14ac:dyDescent="0.2">
      <c r="A783" s="140" t="s">
        <v>607</v>
      </c>
      <c r="B783" s="148" t="s">
        <v>1046</v>
      </c>
      <c r="C783" s="148" t="s">
        <v>992</v>
      </c>
      <c r="D783" s="148" t="s">
        <v>736</v>
      </c>
      <c r="E783" s="148"/>
      <c r="F783" s="183">
        <f>F784</f>
        <v>398</v>
      </c>
      <c r="G783" s="183">
        <f>G784</f>
        <v>397.19421</v>
      </c>
      <c r="H783" s="131">
        <f t="shared" si="174"/>
        <v>99.79754020100502</v>
      </c>
    </row>
    <row r="784" spans="1:9" ht="18.75" x14ac:dyDescent="0.2">
      <c r="A784" s="145" t="s">
        <v>871</v>
      </c>
      <c r="B784" s="141" t="s">
        <v>1046</v>
      </c>
      <c r="C784" s="141" t="s">
        <v>992</v>
      </c>
      <c r="D784" s="141" t="s">
        <v>736</v>
      </c>
      <c r="E784" s="141" t="s">
        <v>15</v>
      </c>
      <c r="F784" s="160">
        <f>F785</f>
        <v>398</v>
      </c>
      <c r="G784" s="160">
        <f t="shared" ref="G784:G785" si="176">G785</f>
        <v>397.19421</v>
      </c>
      <c r="H784" s="131">
        <f t="shared" si="174"/>
        <v>99.79754020100502</v>
      </c>
    </row>
    <row r="785" spans="1:8" ht="31.5" x14ac:dyDescent="0.2">
      <c r="A785" s="145" t="s">
        <v>17</v>
      </c>
      <c r="B785" s="141" t="s">
        <v>1046</v>
      </c>
      <c r="C785" s="141" t="s">
        <v>992</v>
      </c>
      <c r="D785" s="141" t="s">
        <v>736</v>
      </c>
      <c r="E785" s="141" t="s">
        <v>16</v>
      </c>
      <c r="F785" s="160">
        <f>F786</f>
        <v>398</v>
      </c>
      <c r="G785" s="160">
        <f t="shared" si="176"/>
        <v>397.19421</v>
      </c>
      <c r="H785" s="131">
        <f t="shared" si="174"/>
        <v>99.79754020100502</v>
      </c>
    </row>
    <row r="786" spans="1:8" s="82" customFormat="1" ht="18.75" hidden="1" x14ac:dyDescent="0.2">
      <c r="A786" s="3" t="s">
        <v>548</v>
      </c>
      <c r="B786" s="2" t="s">
        <v>1046</v>
      </c>
      <c r="C786" s="2" t="s">
        <v>992</v>
      </c>
      <c r="D786" s="2" t="s">
        <v>736</v>
      </c>
      <c r="E786" s="2" t="s">
        <v>67</v>
      </c>
      <c r="F786" s="62">
        <f>2000-1602</f>
        <v>398</v>
      </c>
      <c r="G786" s="62">
        <v>397.19421</v>
      </c>
      <c r="H786" s="97">
        <f t="shared" si="174"/>
        <v>99.79754020100502</v>
      </c>
    </row>
    <row r="787" spans="1:8" ht="31.5" x14ac:dyDescent="0.2">
      <c r="A787" s="233" t="s">
        <v>1154</v>
      </c>
      <c r="B787" s="148" t="s">
        <v>1046</v>
      </c>
      <c r="C787" s="148" t="s">
        <v>992</v>
      </c>
      <c r="D787" s="148" t="s">
        <v>1153</v>
      </c>
      <c r="E787" s="148"/>
      <c r="F787" s="183">
        <f>F788</f>
        <v>2000</v>
      </c>
      <c r="G787" s="183">
        <f t="shared" ref="G787:G789" si="177">G788</f>
        <v>1999.992</v>
      </c>
      <c r="H787" s="131">
        <f t="shared" si="174"/>
        <v>99.999600000000001</v>
      </c>
    </row>
    <row r="788" spans="1:8" ht="31.5" x14ac:dyDescent="0.2">
      <c r="A788" s="145" t="s">
        <v>18</v>
      </c>
      <c r="B788" s="141" t="s">
        <v>1046</v>
      </c>
      <c r="C788" s="141" t="s">
        <v>992</v>
      </c>
      <c r="D788" s="141" t="s">
        <v>1153</v>
      </c>
      <c r="E788" s="141" t="s">
        <v>20</v>
      </c>
      <c r="F788" s="160">
        <f>F789</f>
        <v>2000</v>
      </c>
      <c r="G788" s="160">
        <f t="shared" si="177"/>
        <v>1999.992</v>
      </c>
      <c r="H788" s="131">
        <f t="shared" si="174"/>
        <v>99.999600000000001</v>
      </c>
    </row>
    <row r="789" spans="1:8" ht="18.75" x14ac:dyDescent="0.2">
      <c r="A789" s="145" t="s">
        <v>24</v>
      </c>
      <c r="B789" s="141" t="s">
        <v>1046</v>
      </c>
      <c r="C789" s="141" t="s">
        <v>992</v>
      </c>
      <c r="D789" s="141" t="s">
        <v>1153</v>
      </c>
      <c r="E789" s="141" t="s">
        <v>25</v>
      </c>
      <c r="F789" s="160">
        <f>F790</f>
        <v>2000</v>
      </c>
      <c r="G789" s="160">
        <f t="shared" si="177"/>
        <v>1999.992</v>
      </c>
      <c r="H789" s="131">
        <f t="shared" si="174"/>
        <v>99.999600000000001</v>
      </c>
    </row>
    <row r="790" spans="1:8" s="82" customFormat="1" ht="18.75" hidden="1" x14ac:dyDescent="0.2">
      <c r="A790" s="3" t="s">
        <v>72</v>
      </c>
      <c r="B790" s="2" t="s">
        <v>1046</v>
      </c>
      <c r="C790" s="2" t="s">
        <v>992</v>
      </c>
      <c r="D790" s="2" t="s">
        <v>1153</v>
      </c>
      <c r="E790" s="2" t="s">
        <v>73</v>
      </c>
      <c r="F790" s="62">
        <v>2000</v>
      </c>
      <c r="G790" s="62">
        <v>1999.992</v>
      </c>
      <c r="H790" s="97">
        <f t="shared" si="174"/>
        <v>99.999600000000001</v>
      </c>
    </row>
    <row r="791" spans="1:8" ht="18.75" x14ac:dyDescent="0.2">
      <c r="A791" s="233" t="s">
        <v>833</v>
      </c>
      <c r="B791" s="148" t="s">
        <v>1046</v>
      </c>
      <c r="C791" s="148" t="s">
        <v>992</v>
      </c>
      <c r="D791" s="148" t="s">
        <v>834</v>
      </c>
      <c r="E791" s="148"/>
      <c r="F791" s="168">
        <f>F792</f>
        <v>41344.36</v>
      </c>
      <c r="G791" s="168">
        <f t="shared" ref="G791:G793" si="178">G792</f>
        <v>34489.085809999997</v>
      </c>
      <c r="H791" s="131">
        <f t="shared" si="174"/>
        <v>83.419082578615317</v>
      </c>
    </row>
    <row r="792" spans="1:8" ht="18.75" x14ac:dyDescent="0.2">
      <c r="A792" s="145" t="s">
        <v>13</v>
      </c>
      <c r="B792" s="141" t="s">
        <v>1046</v>
      </c>
      <c r="C792" s="141" t="s">
        <v>992</v>
      </c>
      <c r="D792" s="141" t="s">
        <v>834</v>
      </c>
      <c r="E792" s="141" t="s">
        <v>14</v>
      </c>
      <c r="F792" s="166">
        <f>F793</f>
        <v>41344.36</v>
      </c>
      <c r="G792" s="166">
        <f t="shared" si="178"/>
        <v>34489.085809999997</v>
      </c>
      <c r="H792" s="131">
        <f t="shared" si="174"/>
        <v>83.419082578615317</v>
      </c>
    </row>
    <row r="793" spans="1:8" ht="47.25" x14ac:dyDescent="0.2">
      <c r="A793" s="145" t="s">
        <v>300</v>
      </c>
      <c r="B793" s="141" t="s">
        <v>1046</v>
      </c>
      <c r="C793" s="141" t="s">
        <v>992</v>
      </c>
      <c r="D793" s="141" t="s">
        <v>834</v>
      </c>
      <c r="E793" s="141" t="s">
        <v>12</v>
      </c>
      <c r="F793" s="166">
        <f>F794</f>
        <v>41344.36</v>
      </c>
      <c r="G793" s="166">
        <f t="shared" si="178"/>
        <v>34489.085809999997</v>
      </c>
      <c r="H793" s="131">
        <f t="shared" si="174"/>
        <v>83.419082578615317</v>
      </c>
    </row>
    <row r="794" spans="1:8" s="82" customFormat="1" ht="47.25" hidden="1" x14ac:dyDescent="0.2">
      <c r="A794" s="60" t="s">
        <v>470</v>
      </c>
      <c r="B794" s="2" t="s">
        <v>1046</v>
      </c>
      <c r="C794" s="2" t="s">
        <v>992</v>
      </c>
      <c r="D794" s="2" t="s">
        <v>834</v>
      </c>
      <c r="E794" s="2" t="s">
        <v>473</v>
      </c>
      <c r="F794" s="36">
        <f>2782.85+26760-1858+19719.51-4060-2000</f>
        <v>41344.36</v>
      </c>
      <c r="G794" s="36">
        <v>34489.085809999997</v>
      </c>
      <c r="H794" s="97">
        <f t="shared" si="174"/>
        <v>83.419082578615317</v>
      </c>
    </row>
    <row r="795" spans="1:8" ht="18.75" x14ac:dyDescent="0.2">
      <c r="A795" s="132" t="s">
        <v>1011</v>
      </c>
      <c r="B795" s="133" t="s">
        <v>1046</v>
      </c>
      <c r="C795" s="133" t="s">
        <v>992</v>
      </c>
      <c r="D795" s="133" t="s">
        <v>161</v>
      </c>
      <c r="E795" s="133"/>
      <c r="F795" s="134">
        <f>F796+F802+F799</f>
        <v>24623.4</v>
      </c>
      <c r="G795" s="134">
        <f t="shared" ref="G795" si="179">G796+G802+G799</f>
        <v>24575.491129999999</v>
      </c>
      <c r="H795" s="131">
        <f t="shared" si="174"/>
        <v>99.805433571318332</v>
      </c>
    </row>
    <row r="796" spans="1:8" ht="18.75" x14ac:dyDescent="0.2">
      <c r="A796" s="140" t="s">
        <v>455</v>
      </c>
      <c r="B796" s="148" t="s">
        <v>1046</v>
      </c>
      <c r="C796" s="148" t="s">
        <v>992</v>
      </c>
      <c r="D796" s="148" t="s">
        <v>463</v>
      </c>
      <c r="E796" s="148" t="s">
        <v>15</v>
      </c>
      <c r="F796" s="168">
        <f>F797</f>
        <v>15253.5</v>
      </c>
      <c r="G796" s="168">
        <f t="shared" ref="G796:G797" si="180">G797</f>
        <v>15252.717769999999</v>
      </c>
      <c r="H796" s="131">
        <f t="shared" si="174"/>
        <v>99.994871799914762</v>
      </c>
    </row>
    <row r="797" spans="1:8" ht="18.75" x14ac:dyDescent="0.2">
      <c r="A797" s="145" t="s">
        <v>871</v>
      </c>
      <c r="B797" s="141" t="s">
        <v>1046</v>
      </c>
      <c r="C797" s="141" t="s">
        <v>992</v>
      </c>
      <c r="D797" s="141" t="s">
        <v>463</v>
      </c>
      <c r="E797" s="141" t="s">
        <v>16</v>
      </c>
      <c r="F797" s="166">
        <f>F798</f>
        <v>15253.5</v>
      </c>
      <c r="G797" s="166">
        <f t="shared" si="180"/>
        <v>15252.717769999999</v>
      </c>
      <c r="H797" s="131">
        <f t="shared" si="174"/>
        <v>99.994871799914762</v>
      </c>
    </row>
    <row r="798" spans="1:8" s="82" customFormat="1" ht="18.75" hidden="1" x14ac:dyDescent="0.2">
      <c r="A798" s="3" t="s">
        <v>548</v>
      </c>
      <c r="B798" s="2" t="s">
        <v>1046</v>
      </c>
      <c r="C798" s="2" t="s">
        <v>992</v>
      </c>
      <c r="D798" s="2" t="s">
        <v>463</v>
      </c>
      <c r="E798" s="2" t="s">
        <v>67</v>
      </c>
      <c r="F798" s="36">
        <f>13802.8+1075.7+375</f>
        <v>15253.5</v>
      </c>
      <c r="G798" s="36">
        <v>15252.717769999999</v>
      </c>
      <c r="H798" s="97">
        <f t="shared" si="174"/>
        <v>99.994871799914762</v>
      </c>
    </row>
    <row r="799" spans="1:8" ht="31.5" x14ac:dyDescent="0.25">
      <c r="A799" s="181" t="s">
        <v>493</v>
      </c>
      <c r="B799" s="141" t="s">
        <v>1046</v>
      </c>
      <c r="C799" s="141" t="s">
        <v>992</v>
      </c>
      <c r="D799" s="141" t="s">
        <v>463</v>
      </c>
      <c r="E799" s="141" t="s">
        <v>34</v>
      </c>
      <c r="F799" s="166">
        <f>F800</f>
        <v>8727</v>
      </c>
      <c r="G799" s="166">
        <f t="shared" ref="G799:G800" si="181">G800</f>
        <v>8716.2659999999996</v>
      </c>
      <c r="H799" s="131">
        <f t="shared" si="174"/>
        <v>99.87700240632519</v>
      </c>
    </row>
    <row r="800" spans="1:8" ht="18.75" x14ac:dyDescent="0.2">
      <c r="A800" s="150" t="s">
        <v>51</v>
      </c>
      <c r="B800" s="141" t="s">
        <v>1046</v>
      </c>
      <c r="C800" s="141" t="s">
        <v>992</v>
      </c>
      <c r="D800" s="141" t="s">
        <v>463</v>
      </c>
      <c r="E800" s="141" t="s">
        <v>129</v>
      </c>
      <c r="F800" s="166">
        <f>F801</f>
        <v>8727</v>
      </c>
      <c r="G800" s="166">
        <f t="shared" si="181"/>
        <v>8716.2659999999996</v>
      </c>
      <c r="H800" s="131">
        <f t="shared" si="174"/>
        <v>99.87700240632519</v>
      </c>
    </row>
    <row r="801" spans="1:11" s="82" customFormat="1" ht="31.5" hidden="1" x14ac:dyDescent="0.2">
      <c r="A801" s="19" t="s">
        <v>113</v>
      </c>
      <c r="B801" s="2" t="s">
        <v>1046</v>
      </c>
      <c r="C801" s="2" t="s">
        <v>992</v>
      </c>
      <c r="D801" s="2" t="s">
        <v>463</v>
      </c>
      <c r="E801" s="2" t="s">
        <v>494</v>
      </c>
      <c r="F801" s="36">
        <f>6800+1927</f>
        <v>8727</v>
      </c>
      <c r="G801" s="36">
        <v>8716.2659999999996</v>
      </c>
      <c r="H801" s="97">
        <f t="shared" si="174"/>
        <v>99.87700240632519</v>
      </c>
    </row>
    <row r="802" spans="1:11" ht="18.75" x14ac:dyDescent="0.2">
      <c r="A802" s="145" t="s">
        <v>548</v>
      </c>
      <c r="B802" s="141" t="s">
        <v>1046</v>
      </c>
      <c r="C802" s="141" t="s">
        <v>992</v>
      </c>
      <c r="D802" s="141" t="s">
        <v>463</v>
      </c>
      <c r="E802" s="141" t="s">
        <v>14</v>
      </c>
      <c r="F802" s="166">
        <f>F803</f>
        <v>642.9</v>
      </c>
      <c r="G802" s="166">
        <f t="shared" ref="G802:G803" si="182">G803</f>
        <v>606.50735999999995</v>
      </c>
      <c r="H802" s="131">
        <f t="shared" si="174"/>
        <v>94.339300046663553</v>
      </c>
    </row>
    <row r="803" spans="1:11" ht="18.75" x14ac:dyDescent="0.2">
      <c r="A803" s="145" t="s">
        <v>13</v>
      </c>
      <c r="B803" s="141" t="s">
        <v>1046</v>
      </c>
      <c r="C803" s="141" t="s">
        <v>992</v>
      </c>
      <c r="D803" s="141" t="s">
        <v>463</v>
      </c>
      <c r="E803" s="141" t="s">
        <v>457</v>
      </c>
      <c r="F803" s="166">
        <f>F804</f>
        <v>642.9</v>
      </c>
      <c r="G803" s="166">
        <f t="shared" si="182"/>
        <v>606.50735999999995</v>
      </c>
      <c r="H803" s="131">
        <f t="shared" si="174"/>
        <v>94.339300046663553</v>
      </c>
    </row>
    <row r="804" spans="1:11" s="82" customFormat="1" ht="18.75" hidden="1" x14ac:dyDescent="0.2">
      <c r="A804" s="3" t="s">
        <v>1007</v>
      </c>
      <c r="B804" s="2" t="s">
        <v>1046</v>
      </c>
      <c r="C804" s="2" t="s">
        <v>992</v>
      </c>
      <c r="D804" s="2" t="s">
        <v>463</v>
      </c>
      <c r="E804" s="2" t="s">
        <v>458</v>
      </c>
      <c r="F804" s="36">
        <f>92.1+23.8+370+157</f>
        <v>642.9</v>
      </c>
      <c r="G804" s="36">
        <v>606.50735999999995</v>
      </c>
      <c r="H804" s="97">
        <f t="shared" si="174"/>
        <v>94.339300046663553</v>
      </c>
    </row>
    <row r="805" spans="1:11" ht="18.75" x14ac:dyDescent="0.2">
      <c r="A805" s="132" t="s">
        <v>1128</v>
      </c>
      <c r="B805" s="133" t="s">
        <v>1046</v>
      </c>
      <c r="C805" s="133" t="s">
        <v>990</v>
      </c>
      <c r="D805" s="133"/>
      <c r="E805" s="133"/>
      <c r="F805" s="134">
        <f>F806+F897+F904</f>
        <v>2425619.1908800001</v>
      </c>
      <c r="G805" s="134">
        <f>G806+G897+G904</f>
        <v>2263375.8770099999</v>
      </c>
      <c r="H805" s="131">
        <f t="shared" si="174"/>
        <v>93.31126194581519</v>
      </c>
      <c r="K805" s="96">
        <f>2263375.87701-G805</f>
        <v>0</v>
      </c>
    </row>
    <row r="806" spans="1:11" ht="31.5" x14ac:dyDescent="0.2">
      <c r="A806" s="132" t="s">
        <v>1048</v>
      </c>
      <c r="B806" s="133" t="s">
        <v>1046</v>
      </c>
      <c r="C806" s="133" t="s">
        <v>990</v>
      </c>
      <c r="D806" s="133" t="s">
        <v>562</v>
      </c>
      <c r="E806" s="133"/>
      <c r="F806" s="134">
        <f>F807+F817+F835</f>
        <v>2400649.1508800001</v>
      </c>
      <c r="G806" s="134">
        <f>G807+G817+G835</f>
        <v>2239064.5550899999</v>
      </c>
      <c r="H806" s="131">
        <f t="shared" si="174"/>
        <v>93.269129071577638</v>
      </c>
      <c r="K806" s="96">
        <f>2239064.55509-G806</f>
        <v>0</v>
      </c>
    </row>
    <row r="807" spans="1:11" ht="18.75" x14ac:dyDescent="0.2">
      <c r="A807" s="135" t="s">
        <v>563</v>
      </c>
      <c r="B807" s="136" t="s">
        <v>1046</v>
      </c>
      <c r="C807" s="136" t="s">
        <v>990</v>
      </c>
      <c r="D807" s="137" t="s">
        <v>564</v>
      </c>
      <c r="E807" s="136"/>
      <c r="F807" s="138">
        <f>F808</f>
        <v>22112</v>
      </c>
      <c r="G807" s="138">
        <f>G808</f>
        <v>18617.503989999997</v>
      </c>
      <c r="H807" s="131">
        <f t="shared" ref="H807:H844" si="183">G807/F807*100</f>
        <v>84.196382009768442</v>
      </c>
    </row>
    <row r="808" spans="1:11" ht="47.25" x14ac:dyDescent="0.2">
      <c r="A808" s="132" t="s">
        <v>1127</v>
      </c>
      <c r="B808" s="133" t="s">
        <v>1046</v>
      </c>
      <c r="C808" s="133" t="s">
        <v>990</v>
      </c>
      <c r="D808" s="139" t="s">
        <v>565</v>
      </c>
      <c r="E808" s="141"/>
      <c r="F808" s="134">
        <f>F809+F813</f>
        <v>22112</v>
      </c>
      <c r="G808" s="134">
        <f>G809+G813</f>
        <v>18617.503989999997</v>
      </c>
      <c r="H808" s="131">
        <f t="shared" si="183"/>
        <v>84.196382009768442</v>
      </c>
    </row>
    <row r="809" spans="1:11" ht="18.75" x14ac:dyDescent="0.2">
      <c r="A809" s="155" t="s">
        <v>705</v>
      </c>
      <c r="B809" s="148" t="s">
        <v>1046</v>
      </c>
      <c r="C809" s="148" t="s">
        <v>990</v>
      </c>
      <c r="D809" s="148" t="s">
        <v>706</v>
      </c>
      <c r="E809" s="148"/>
      <c r="F809" s="183">
        <f>F810</f>
        <v>11519</v>
      </c>
      <c r="G809" s="183">
        <f t="shared" ref="G809:G811" si="184">G810</f>
        <v>9957.3170399999999</v>
      </c>
      <c r="H809" s="131">
        <f t="shared" si="183"/>
        <v>86.442547443354457</v>
      </c>
    </row>
    <row r="810" spans="1:11" ht="31.5" x14ac:dyDescent="0.2">
      <c r="A810" s="150" t="s">
        <v>493</v>
      </c>
      <c r="B810" s="141" t="s">
        <v>1046</v>
      </c>
      <c r="C810" s="141" t="s">
        <v>990</v>
      </c>
      <c r="D810" s="141" t="s">
        <v>706</v>
      </c>
      <c r="E810" s="174" t="s">
        <v>34</v>
      </c>
      <c r="F810" s="160">
        <f>F811</f>
        <v>11519</v>
      </c>
      <c r="G810" s="160">
        <f t="shared" si="184"/>
        <v>9957.3170399999999</v>
      </c>
      <c r="H810" s="131">
        <f t="shared" si="183"/>
        <v>86.442547443354457</v>
      </c>
    </row>
    <row r="811" spans="1:11" ht="18.75" x14ac:dyDescent="0.2">
      <c r="A811" s="150" t="s">
        <v>33</v>
      </c>
      <c r="B811" s="141" t="s">
        <v>1046</v>
      </c>
      <c r="C811" s="141" t="s">
        <v>990</v>
      </c>
      <c r="D811" s="141" t="s">
        <v>706</v>
      </c>
      <c r="E811" s="174" t="s">
        <v>129</v>
      </c>
      <c r="F811" s="160">
        <f>F812</f>
        <v>11519</v>
      </c>
      <c r="G811" s="160">
        <f t="shared" si="184"/>
        <v>9957.3170399999999</v>
      </c>
      <c r="H811" s="131">
        <f t="shared" si="183"/>
        <v>86.442547443354457</v>
      </c>
    </row>
    <row r="812" spans="1:11" s="82" customFormat="1" ht="31.5" hidden="1" x14ac:dyDescent="0.2">
      <c r="A812" s="19" t="s">
        <v>84</v>
      </c>
      <c r="B812" s="12" t="s">
        <v>1046</v>
      </c>
      <c r="C812" s="12" t="s">
        <v>990</v>
      </c>
      <c r="D812" s="2" t="s">
        <v>706</v>
      </c>
      <c r="E812" s="38" t="s">
        <v>85</v>
      </c>
      <c r="F812" s="62">
        <f>40000-7099-3391-17991-1306.51716+1306.51716</f>
        <v>11519</v>
      </c>
      <c r="G812" s="62">
        <v>9957.3170399999999</v>
      </c>
      <c r="H812" s="97">
        <f t="shared" si="183"/>
        <v>86.442547443354457</v>
      </c>
    </row>
    <row r="813" spans="1:11" ht="47.25" x14ac:dyDescent="0.2">
      <c r="A813" s="140" t="s">
        <v>966</v>
      </c>
      <c r="B813" s="148" t="s">
        <v>1046</v>
      </c>
      <c r="C813" s="148" t="s">
        <v>990</v>
      </c>
      <c r="D813" s="148" t="s">
        <v>1129</v>
      </c>
      <c r="E813" s="149"/>
      <c r="F813" s="168">
        <f t="shared" ref="F813:G815" si="185">F814</f>
        <v>10593</v>
      </c>
      <c r="G813" s="168">
        <f t="shared" si="185"/>
        <v>8660.1869499999993</v>
      </c>
      <c r="H813" s="131">
        <f t="shared" si="183"/>
        <v>81.753865288398003</v>
      </c>
    </row>
    <row r="814" spans="1:11" ht="18.75" x14ac:dyDescent="0.2">
      <c r="A814" s="150" t="s">
        <v>871</v>
      </c>
      <c r="B814" s="141" t="s">
        <v>1046</v>
      </c>
      <c r="C814" s="141" t="s">
        <v>990</v>
      </c>
      <c r="D814" s="141" t="s">
        <v>1129</v>
      </c>
      <c r="E814" s="151" t="s">
        <v>15</v>
      </c>
      <c r="F814" s="166">
        <f t="shared" si="185"/>
        <v>10593</v>
      </c>
      <c r="G814" s="166">
        <f t="shared" si="185"/>
        <v>8660.1869499999993</v>
      </c>
      <c r="H814" s="131">
        <f t="shared" si="183"/>
        <v>81.753865288398003</v>
      </c>
    </row>
    <row r="815" spans="1:11" ht="31.5" x14ac:dyDescent="0.2">
      <c r="A815" s="150" t="s">
        <v>17</v>
      </c>
      <c r="B815" s="141" t="s">
        <v>1046</v>
      </c>
      <c r="C815" s="141" t="s">
        <v>990</v>
      </c>
      <c r="D815" s="141" t="s">
        <v>1129</v>
      </c>
      <c r="E815" s="151" t="s">
        <v>16</v>
      </c>
      <c r="F815" s="166">
        <f t="shared" si="185"/>
        <v>10593</v>
      </c>
      <c r="G815" s="166">
        <f t="shared" si="185"/>
        <v>8660.1869499999993</v>
      </c>
      <c r="H815" s="131">
        <f t="shared" si="183"/>
        <v>81.753865288398003</v>
      </c>
    </row>
    <row r="816" spans="1:11" s="82" customFormat="1" ht="31.5" hidden="1" x14ac:dyDescent="0.2">
      <c r="A816" s="19" t="s">
        <v>502</v>
      </c>
      <c r="B816" s="2" t="s">
        <v>1046</v>
      </c>
      <c r="C816" s="2" t="s">
        <v>990</v>
      </c>
      <c r="D816" s="2" t="s">
        <v>1129</v>
      </c>
      <c r="E816" s="5" t="s">
        <v>451</v>
      </c>
      <c r="F816" s="36">
        <f>281+10312</f>
        <v>10593</v>
      </c>
      <c r="G816" s="36">
        <v>8660.1869499999993</v>
      </c>
      <c r="H816" s="97">
        <f t="shared" si="183"/>
        <v>81.753865288398003</v>
      </c>
    </row>
    <row r="817" spans="1:11" ht="18.75" x14ac:dyDescent="0.2">
      <c r="A817" s="135" t="s">
        <v>566</v>
      </c>
      <c r="B817" s="136" t="s">
        <v>1046</v>
      </c>
      <c r="C817" s="136" t="s">
        <v>990</v>
      </c>
      <c r="D817" s="137" t="s">
        <v>567</v>
      </c>
      <c r="E817" s="136"/>
      <c r="F817" s="138">
        <f>F818</f>
        <v>1165683.01284</v>
      </c>
      <c r="G817" s="138">
        <f>G818</f>
        <v>1043701.2551300001</v>
      </c>
      <c r="H817" s="131">
        <f t="shared" si="183"/>
        <v>89.535597896995085</v>
      </c>
      <c r="K817" s="96"/>
    </row>
    <row r="818" spans="1:11" ht="47.25" x14ac:dyDescent="0.2">
      <c r="A818" s="132" t="s">
        <v>569</v>
      </c>
      <c r="B818" s="141" t="s">
        <v>1046</v>
      </c>
      <c r="C818" s="141" t="s">
        <v>990</v>
      </c>
      <c r="D818" s="139" t="s">
        <v>568</v>
      </c>
      <c r="E818" s="141"/>
      <c r="F818" s="134">
        <f>F819+F823+F831+F827</f>
        <v>1165683.01284</v>
      </c>
      <c r="G818" s="134">
        <f t="shared" ref="G818" si="186">G819+G823+G831+G827</f>
        <v>1043701.2551300001</v>
      </c>
      <c r="H818" s="131">
        <f t="shared" si="183"/>
        <v>89.535597896995085</v>
      </c>
    </row>
    <row r="819" spans="1:11" ht="31.5" x14ac:dyDescent="0.2">
      <c r="A819" s="155" t="s">
        <v>840</v>
      </c>
      <c r="B819" s="148" t="s">
        <v>1046</v>
      </c>
      <c r="C819" s="148" t="s">
        <v>990</v>
      </c>
      <c r="D819" s="142" t="s">
        <v>707</v>
      </c>
      <c r="E819" s="148"/>
      <c r="F819" s="183">
        <f>F820</f>
        <v>5541</v>
      </c>
      <c r="G819" s="183">
        <f>G820</f>
        <v>5531.3400899999997</v>
      </c>
      <c r="H819" s="131">
        <f t="shared" si="183"/>
        <v>99.825664861938264</v>
      </c>
    </row>
    <row r="820" spans="1:11" ht="31.5" x14ac:dyDescent="0.2">
      <c r="A820" s="157" t="s">
        <v>493</v>
      </c>
      <c r="B820" s="141" t="s">
        <v>1046</v>
      </c>
      <c r="C820" s="141" t="s">
        <v>990</v>
      </c>
      <c r="D820" s="146" t="s">
        <v>707</v>
      </c>
      <c r="E820" s="143" t="s">
        <v>34</v>
      </c>
      <c r="F820" s="160">
        <f>F821</f>
        <v>5541</v>
      </c>
      <c r="G820" s="160">
        <f t="shared" ref="G820:G829" si="187">G821</f>
        <v>5531.3400899999997</v>
      </c>
      <c r="H820" s="131">
        <f t="shared" si="183"/>
        <v>99.825664861938264</v>
      </c>
    </row>
    <row r="821" spans="1:11" ht="18.75" x14ac:dyDescent="0.2">
      <c r="A821" s="157" t="s">
        <v>33</v>
      </c>
      <c r="B821" s="141" t="s">
        <v>1046</v>
      </c>
      <c r="C821" s="141" t="s">
        <v>990</v>
      </c>
      <c r="D821" s="146" t="s">
        <v>707</v>
      </c>
      <c r="E821" s="143" t="s">
        <v>129</v>
      </c>
      <c r="F821" s="160">
        <f>F822</f>
        <v>5541</v>
      </c>
      <c r="G821" s="160">
        <f t="shared" si="187"/>
        <v>5531.3400899999997</v>
      </c>
      <c r="H821" s="131">
        <f t="shared" si="183"/>
        <v>99.825664861938264</v>
      </c>
    </row>
    <row r="822" spans="1:11" s="82" customFormat="1" ht="31.5" hidden="1" x14ac:dyDescent="0.2">
      <c r="A822" s="28" t="s">
        <v>84</v>
      </c>
      <c r="B822" s="2" t="s">
        <v>1046</v>
      </c>
      <c r="C822" s="2" t="s">
        <v>990</v>
      </c>
      <c r="D822" s="4" t="s">
        <v>707</v>
      </c>
      <c r="E822" s="33" t="s">
        <v>85</v>
      </c>
      <c r="F822" s="62">
        <f>7353-1812</f>
        <v>5541</v>
      </c>
      <c r="G822" s="62">
        <v>5531.3400899999997</v>
      </c>
      <c r="H822" s="97">
        <f t="shared" si="183"/>
        <v>99.825664861938264</v>
      </c>
    </row>
    <row r="823" spans="1:11" ht="31.5" x14ac:dyDescent="0.2">
      <c r="A823" s="155" t="s">
        <v>761</v>
      </c>
      <c r="B823" s="148" t="s">
        <v>1046</v>
      </c>
      <c r="C823" s="148" t="s">
        <v>990</v>
      </c>
      <c r="D823" s="142" t="s">
        <v>708</v>
      </c>
      <c r="E823" s="148"/>
      <c r="F823" s="183">
        <f>F824</f>
        <v>7693.4828399999997</v>
      </c>
      <c r="G823" s="183">
        <f>G824</f>
        <v>7693.4828399999997</v>
      </c>
      <c r="H823" s="131">
        <f t="shared" si="183"/>
        <v>100</v>
      </c>
    </row>
    <row r="824" spans="1:11" ht="31.5" x14ac:dyDescent="0.2">
      <c r="A824" s="157" t="s">
        <v>493</v>
      </c>
      <c r="B824" s="141" t="s">
        <v>1046</v>
      </c>
      <c r="C824" s="141" t="s">
        <v>990</v>
      </c>
      <c r="D824" s="146" t="s">
        <v>708</v>
      </c>
      <c r="E824" s="143" t="s">
        <v>34</v>
      </c>
      <c r="F824" s="160">
        <f>F825</f>
        <v>7693.4828399999997</v>
      </c>
      <c r="G824" s="160">
        <f t="shared" si="187"/>
        <v>7693.4828399999997</v>
      </c>
      <c r="H824" s="131">
        <f t="shared" si="183"/>
        <v>100</v>
      </c>
    </row>
    <row r="825" spans="1:11" ht="18.75" x14ac:dyDescent="0.2">
      <c r="A825" s="157" t="s">
        <v>33</v>
      </c>
      <c r="B825" s="141" t="s">
        <v>1046</v>
      </c>
      <c r="C825" s="141" t="s">
        <v>990</v>
      </c>
      <c r="D825" s="146" t="s">
        <v>708</v>
      </c>
      <c r="E825" s="143" t="s">
        <v>129</v>
      </c>
      <c r="F825" s="160">
        <f>F826</f>
        <v>7693.4828399999997</v>
      </c>
      <c r="G825" s="160">
        <f t="shared" si="187"/>
        <v>7693.4828399999997</v>
      </c>
      <c r="H825" s="131">
        <f t="shared" si="183"/>
        <v>100</v>
      </c>
    </row>
    <row r="826" spans="1:11" s="82" customFormat="1" ht="31.5" hidden="1" x14ac:dyDescent="0.2">
      <c r="A826" s="28" t="s">
        <v>84</v>
      </c>
      <c r="B826" s="2" t="s">
        <v>1046</v>
      </c>
      <c r="C826" s="2" t="s">
        <v>990</v>
      </c>
      <c r="D826" s="4" t="s">
        <v>708</v>
      </c>
      <c r="E826" s="33" t="s">
        <v>85</v>
      </c>
      <c r="F826" s="62">
        <f>7718+3100-1818-1306.51716</f>
        <v>7693.4828399999997</v>
      </c>
      <c r="G826" s="62">
        <v>7693.4828399999997</v>
      </c>
      <c r="H826" s="97">
        <f t="shared" si="183"/>
        <v>100</v>
      </c>
    </row>
    <row r="827" spans="1:11" ht="18.75" x14ac:dyDescent="0.25">
      <c r="A827" s="187" t="s">
        <v>968</v>
      </c>
      <c r="B827" s="148" t="s">
        <v>1046</v>
      </c>
      <c r="C827" s="148" t="s">
        <v>990</v>
      </c>
      <c r="D827" s="142" t="s">
        <v>969</v>
      </c>
      <c r="E827" s="149"/>
      <c r="F827" s="234">
        <f>F828</f>
        <v>10974.75</v>
      </c>
      <c r="G827" s="183">
        <f>G828</f>
        <v>10974.75</v>
      </c>
      <c r="H827" s="131">
        <f t="shared" si="183"/>
        <v>100</v>
      </c>
    </row>
    <row r="828" spans="1:11" ht="31.5" x14ac:dyDescent="0.25">
      <c r="A828" s="181" t="s">
        <v>432</v>
      </c>
      <c r="B828" s="141" t="s">
        <v>1046</v>
      </c>
      <c r="C828" s="141" t="s">
        <v>990</v>
      </c>
      <c r="D828" s="146" t="s">
        <v>969</v>
      </c>
      <c r="E828" s="143" t="s">
        <v>15</v>
      </c>
      <c r="F828" s="188">
        <f>F829</f>
        <v>10974.75</v>
      </c>
      <c r="G828" s="160">
        <f t="shared" si="187"/>
        <v>10974.75</v>
      </c>
      <c r="H828" s="131">
        <f t="shared" si="183"/>
        <v>100</v>
      </c>
    </row>
    <row r="829" spans="1:11" ht="31.5" x14ac:dyDescent="0.25">
      <c r="A829" s="181" t="s">
        <v>17</v>
      </c>
      <c r="B829" s="141" t="s">
        <v>1046</v>
      </c>
      <c r="C829" s="141" t="s">
        <v>990</v>
      </c>
      <c r="D829" s="146" t="s">
        <v>969</v>
      </c>
      <c r="E829" s="143" t="s">
        <v>16</v>
      </c>
      <c r="F829" s="188">
        <f>F830</f>
        <v>10974.75</v>
      </c>
      <c r="G829" s="160">
        <f t="shared" si="187"/>
        <v>10974.75</v>
      </c>
      <c r="H829" s="131">
        <f t="shared" si="183"/>
        <v>100</v>
      </c>
    </row>
    <row r="830" spans="1:11" s="82" customFormat="1" ht="31.5" hidden="1" x14ac:dyDescent="0.25">
      <c r="A830" s="20" t="s">
        <v>502</v>
      </c>
      <c r="B830" s="2" t="s">
        <v>1046</v>
      </c>
      <c r="C830" s="2" t="s">
        <v>990</v>
      </c>
      <c r="D830" s="4" t="s">
        <v>969</v>
      </c>
      <c r="E830" s="33" t="s">
        <v>451</v>
      </c>
      <c r="F830" s="29">
        <f>8550+2450-25.25</f>
        <v>10974.75</v>
      </c>
      <c r="G830" s="62">
        <v>10974.75</v>
      </c>
      <c r="H830" s="97">
        <f t="shared" si="183"/>
        <v>100</v>
      </c>
    </row>
    <row r="831" spans="1:11" ht="94.5" x14ac:dyDescent="0.2">
      <c r="A831" s="155" t="s">
        <v>841</v>
      </c>
      <c r="B831" s="141" t="s">
        <v>1046</v>
      </c>
      <c r="C831" s="141" t="s">
        <v>990</v>
      </c>
      <c r="D831" s="148" t="s">
        <v>835</v>
      </c>
      <c r="E831" s="148"/>
      <c r="F831" s="168">
        <f>F832</f>
        <v>1141473.78</v>
      </c>
      <c r="G831" s="168">
        <f t="shared" ref="G831:G833" si="188">G832</f>
        <v>1019501.6822</v>
      </c>
      <c r="H831" s="131">
        <f t="shared" si="183"/>
        <v>89.314507267963705</v>
      </c>
    </row>
    <row r="832" spans="1:11" ht="31.5" x14ac:dyDescent="0.2">
      <c r="A832" s="162" t="s">
        <v>493</v>
      </c>
      <c r="B832" s="141" t="s">
        <v>1046</v>
      </c>
      <c r="C832" s="141" t="s">
        <v>990</v>
      </c>
      <c r="D832" s="141" t="s">
        <v>835</v>
      </c>
      <c r="E832" s="174" t="s">
        <v>34</v>
      </c>
      <c r="F832" s="166">
        <f>F833</f>
        <v>1141473.78</v>
      </c>
      <c r="G832" s="166">
        <f t="shared" si="188"/>
        <v>1019501.6822</v>
      </c>
      <c r="H832" s="131">
        <f t="shared" si="183"/>
        <v>89.314507267963705</v>
      </c>
    </row>
    <row r="833" spans="1:11" ht="18.75" x14ac:dyDescent="0.2">
      <c r="A833" s="162" t="s">
        <v>33</v>
      </c>
      <c r="B833" s="141" t="s">
        <v>1046</v>
      </c>
      <c r="C833" s="141" t="s">
        <v>990</v>
      </c>
      <c r="D833" s="141" t="s">
        <v>835</v>
      </c>
      <c r="E833" s="174" t="s">
        <v>129</v>
      </c>
      <c r="F833" s="166">
        <f>F834</f>
        <v>1141473.78</v>
      </c>
      <c r="G833" s="166">
        <f t="shared" si="188"/>
        <v>1019501.6822</v>
      </c>
      <c r="H833" s="131">
        <f t="shared" si="183"/>
        <v>89.314507267963705</v>
      </c>
    </row>
    <row r="834" spans="1:11" s="82" customFormat="1" ht="31.5" hidden="1" x14ac:dyDescent="0.2">
      <c r="A834" s="27" t="s">
        <v>84</v>
      </c>
      <c r="B834" s="2" t="s">
        <v>1046</v>
      </c>
      <c r="C834" s="2" t="s">
        <v>990</v>
      </c>
      <c r="D834" s="2" t="s">
        <v>835</v>
      </c>
      <c r="E834" s="38" t="s">
        <v>85</v>
      </c>
      <c r="F834" s="36">
        <f>194193+421678.78-12066-194193+632841-4750+8459+31181+64130</f>
        <v>1141473.78</v>
      </c>
      <c r="G834" s="36">
        <v>1019501.6822</v>
      </c>
      <c r="H834" s="97">
        <f t="shared" si="183"/>
        <v>89.314507267963705</v>
      </c>
    </row>
    <row r="835" spans="1:11" ht="31.5" x14ac:dyDescent="0.2">
      <c r="A835" s="135" t="s">
        <v>570</v>
      </c>
      <c r="B835" s="136" t="s">
        <v>1046</v>
      </c>
      <c r="C835" s="136" t="s">
        <v>990</v>
      </c>
      <c r="D835" s="137" t="s">
        <v>571</v>
      </c>
      <c r="E835" s="136"/>
      <c r="F835" s="138">
        <f>F836</f>
        <v>1212854.1380400001</v>
      </c>
      <c r="G835" s="138">
        <f>G836</f>
        <v>1176745.7959699999</v>
      </c>
      <c r="H835" s="131">
        <f t="shared" si="183"/>
        <v>97.022861947080287</v>
      </c>
      <c r="K835" s="96">
        <f>1176745.79597-G835</f>
        <v>0</v>
      </c>
    </row>
    <row r="836" spans="1:11" ht="31.5" x14ac:dyDescent="0.2">
      <c r="A836" s="132" t="s">
        <v>573</v>
      </c>
      <c r="B836" s="133" t="s">
        <v>1046</v>
      </c>
      <c r="C836" s="133" t="s">
        <v>990</v>
      </c>
      <c r="D836" s="139" t="s">
        <v>572</v>
      </c>
      <c r="E836" s="141"/>
      <c r="F836" s="134">
        <f>F837+F845+F857+F877+F881+F885+F889+F853+F841+F861+F873+F865+F849+F893+F869</f>
        <v>1212854.1380400001</v>
      </c>
      <c r="G836" s="134">
        <f>G837+G845+G857+G877+G881+G885+G889+G853+G841+G861+G873+G865+G849+G893+G869</f>
        <v>1176745.7959699999</v>
      </c>
      <c r="H836" s="131">
        <f t="shared" si="183"/>
        <v>97.022861947080287</v>
      </c>
    </row>
    <row r="837" spans="1:11" ht="18.75" x14ac:dyDescent="0.25">
      <c r="A837" s="187" t="s">
        <v>574</v>
      </c>
      <c r="B837" s="141" t="s">
        <v>1046</v>
      </c>
      <c r="C837" s="141" t="s">
        <v>990</v>
      </c>
      <c r="D837" s="148" t="s">
        <v>575</v>
      </c>
      <c r="E837" s="148"/>
      <c r="F837" s="183">
        <f>F838</f>
        <v>9053.7999999999993</v>
      </c>
      <c r="G837" s="183">
        <f t="shared" ref="G837:G839" si="189">G838</f>
        <v>9053.4614199999996</v>
      </c>
      <c r="H837" s="131">
        <f t="shared" si="183"/>
        <v>99.996260354768168</v>
      </c>
    </row>
    <row r="838" spans="1:11" ht="18.75" x14ac:dyDescent="0.2">
      <c r="A838" s="145" t="s">
        <v>871</v>
      </c>
      <c r="B838" s="141" t="s">
        <v>1046</v>
      </c>
      <c r="C838" s="141" t="s">
        <v>990</v>
      </c>
      <c r="D838" s="141" t="s">
        <v>575</v>
      </c>
      <c r="E838" s="141" t="s">
        <v>15</v>
      </c>
      <c r="F838" s="160">
        <f>F839</f>
        <v>9053.7999999999993</v>
      </c>
      <c r="G838" s="160">
        <f t="shared" si="189"/>
        <v>9053.4614199999996</v>
      </c>
      <c r="H838" s="131">
        <f t="shared" si="183"/>
        <v>99.996260354768168</v>
      </c>
    </row>
    <row r="839" spans="1:11" ht="31.5" x14ac:dyDescent="0.25">
      <c r="A839" s="181" t="s">
        <v>17</v>
      </c>
      <c r="B839" s="141" t="s">
        <v>1046</v>
      </c>
      <c r="C839" s="141" t="s">
        <v>990</v>
      </c>
      <c r="D839" s="141" t="s">
        <v>575</v>
      </c>
      <c r="E839" s="141" t="s">
        <v>16</v>
      </c>
      <c r="F839" s="160">
        <f>F840</f>
        <v>9053.7999999999993</v>
      </c>
      <c r="G839" s="160">
        <f t="shared" si="189"/>
        <v>9053.4614199999996</v>
      </c>
      <c r="H839" s="131">
        <f t="shared" si="183"/>
        <v>99.996260354768168</v>
      </c>
    </row>
    <row r="840" spans="1:11" s="82" customFormat="1" ht="18.75" hidden="1" x14ac:dyDescent="0.25">
      <c r="A840" s="20" t="s">
        <v>549</v>
      </c>
      <c r="B840" s="2" t="s">
        <v>1046</v>
      </c>
      <c r="C840" s="2" t="s">
        <v>990</v>
      </c>
      <c r="D840" s="2" t="s">
        <v>575</v>
      </c>
      <c r="E840" s="2" t="s">
        <v>67</v>
      </c>
      <c r="F840" s="62">
        <f>6000+1896+1157.8</f>
        <v>9053.7999999999993</v>
      </c>
      <c r="G840" s="62">
        <v>9053.4614199999996</v>
      </c>
      <c r="H840" s="97">
        <f t="shared" si="183"/>
        <v>99.996260354768168</v>
      </c>
    </row>
    <row r="841" spans="1:11" ht="47.25" x14ac:dyDescent="0.2">
      <c r="A841" s="140" t="s">
        <v>894</v>
      </c>
      <c r="B841" s="148" t="s">
        <v>1046</v>
      </c>
      <c r="C841" s="148" t="s">
        <v>990</v>
      </c>
      <c r="D841" s="148" t="s">
        <v>895</v>
      </c>
      <c r="E841" s="148"/>
      <c r="F841" s="160">
        <f>F842</f>
        <v>37771</v>
      </c>
      <c r="G841" s="160">
        <f>G842</f>
        <v>37770.251300000004</v>
      </c>
      <c r="H841" s="131">
        <f t="shared" si="183"/>
        <v>99.998017791427301</v>
      </c>
    </row>
    <row r="842" spans="1:11" ht="31.5" x14ac:dyDescent="0.2">
      <c r="A842" s="150" t="s">
        <v>493</v>
      </c>
      <c r="B842" s="141" t="s">
        <v>1046</v>
      </c>
      <c r="C842" s="141" t="s">
        <v>990</v>
      </c>
      <c r="D842" s="141" t="s">
        <v>895</v>
      </c>
      <c r="E842" s="174" t="s">
        <v>34</v>
      </c>
      <c r="F842" s="160">
        <f>F843</f>
        <v>37771</v>
      </c>
      <c r="G842" s="160">
        <f t="shared" ref="G842" si="190">G843</f>
        <v>37770.251300000004</v>
      </c>
      <c r="H842" s="131">
        <f t="shared" si="183"/>
        <v>99.998017791427301</v>
      </c>
    </row>
    <row r="843" spans="1:11" ht="18.75" x14ac:dyDescent="0.2">
      <c r="A843" s="150" t="s">
        <v>33</v>
      </c>
      <c r="B843" s="141" t="s">
        <v>1046</v>
      </c>
      <c r="C843" s="141" t="s">
        <v>990</v>
      </c>
      <c r="D843" s="141" t="s">
        <v>895</v>
      </c>
      <c r="E843" s="174" t="s">
        <v>129</v>
      </c>
      <c r="F843" s="160">
        <f>F844</f>
        <v>37771</v>
      </c>
      <c r="G843" s="160">
        <f>G844</f>
        <v>37770.251300000004</v>
      </c>
      <c r="H843" s="131">
        <f t="shared" si="183"/>
        <v>99.998017791427301</v>
      </c>
    </row>
    <row r="844" spans="1:11" s="82" customFormat="1" ht="31.5" hidden="1" x14ac:dyDescent="0.2">
      <c r="A844" s="19" t="s">
        <v>84</v>
      </c>
      <c r="B844" s="2" t="s">
        <v>1046</v>
      </c>
      <c r="C844" s="2" t="s">
        <v>990</v>
      </c>
      <c r="D844" s="2" t="s">
        <v>895</v>
      </c>
      <c r="E844" s="38" t="s">
        <v>85</v>
      </c>
      <c r="F844" s="62">
        <f>23357+2957+6343+5114</f>
        <v>37771</v>
      </c>
      <c r="G844" s="62">
        <v>37770.251300000004</v>
      </c>
      <c r="H844" s="97">
        <f t="shared" si="183"/>
        <v>99.998017791427301</v>
      </c>
    </row>
    <row r="845" spans="1:11" ht="31.5" x14ac:dyDescent="0.25">
      <c r="A845" s="187" t="s">
        <v>592</v>
      </c>
      <c r="B845" s="141" t="s">
        <v>1046</v>
      </c>
      <c r="C845" s="141" t="s">
        <v>990</v>
      </c>
      <c r="D845" s="148" t="s">
        <v>593</v>
      </c>
      <c r="E845" s="148"/>
      <c r="F845" s="183">
        <f>F846</f>
        <v>4805</v>
      </c>
      <c r="G845" s="183">
        <f t="shared" ref="G845:G855" si="191">G846</f>
        <v>4805</v>
      </c>
      <c r="H845" s="131">
        <f t="shared" ref="H845:H895" si="192">G845/F845*100</f>
        <v>100</v>
      </c>
    </row>
    <row r="846" spans="1:11" ht="31.5" x14ac:dyDescent="0.25">
      <c r="A846" s="181" t="s">
        <v>493</v>
      </c>
      <c r="B846" s="141" t="s">
        <v>1046</v>
      </c>
      <c r="C846" s="141" t="s">
        <v>990</v>
      </c>
      <c r="D846" s="141" t="s">
        <v>593</v>
      </c>
      <c r="E846" s="143" t="s">
        <v>34</v>
      </c>
      <c r="F846" s="160">
        <f>F847</f>
        <v>4805</v>
      </c>
      <c r="G846" s="160">
        <f t="shared" si="191"/>
        <v>4805</v>
      </c>
      <c r="H846" s="131">
        <f t="shared" si="192"/>
        <v>100</v>
      </c>
    </row>
    <row r="847" spans="1:11" ht="18.75" x14ac:dyDescent="0.25">
      <c r="A847" s="181" t="s">
        <v>33</v>
      </c>
      <c r="B847" s="141" t="s">
        <v>1046</v>
      </c>
      <c r="C847" s="141" t="s">
        <v>990</v>
      </c>
      <c r="D847" s="141" t="s">
        <v>593</v>
      </c>
      <c r="E847" s="143" t="s">
        <v>129</v>
      </c>
      <c r="F847" s="160">
        <f>F848</f>
        <v>4805</v>
      </c>
      <c r="G847" s="160">
        <f t="shared" si="191"/>
        <v>4805</v>
      </c>
      <c r="H847" s="131">
        <f t="shared" si="192"/>
        <v>100</v>
      </c>
    </row>
    <row r="848" spans="1:11" s="82" customFormat="1" ht="31.5" hidden="1" x14ac:dyDescent="0.25">
      <c r="A848" s="20" t="s">
        <v>84</v>
      </c>
      <c r="B848" s="2" t="s">
        <v>1046</v>
      </c>
      <c r="C848" s="2" t="s">
        <v>990</v>
      </c>
      <c r="D848" s="2" t="s">
        <v>593</v>
      </c>
      <c r="E848" s="33" t="s">
        <v>85</v>
      </c>
      <c r="F848" s="62">
        <f>5000+4505-4700</f>
        <v>4805</v>
      </c>
      <c r="G848" s="62">
        <v>4805</v>
      </c>
      <c r="H848" s="97">
        <f t="shared" si="192"/>
        <v>100</v>
      </c>
    </row>
    <row r="849" spans="1:8" ht="18.75" x14ac:dyDescent="0.25">
      <c r="A849" s="187" t="s">
        <v>1121</v>
      </c>
      <c r="B849" s="141" t="s">
        <v>1046</v>
      </c>
      <c r="C849" s="141" t="s">
        <v>990</v>
      </c>
      <c r="D849" s="142" t="s">
        <v>1122</v>
      </c>
      <c r="E849" s="149"/>
      <c r="F849" s="235">
        <f>F850</f>
        <v>920</v>
      </c>
      <c r="G849" s="236">
        <f>G850</f>
        <v>562</v>
      </c>
      <c r="H849" s="131">
        <f t="shared" si="192"/>
        <v>61.086956521739133</v>
      </c>
    </row>
    <row r="850" spans="1:8" ht="31.5" x14ac:dyDescent="0.25">
      <c r="A850" s="181" t="s">
        <v>432</v>
      </c>
      <c r="B850" s="141" t="s">
        <v>1046</v>
      </c>
      <c r="C850" s="141" t="s">
        <v>990</v>
      </c>
      <c r="D850" s="146" t="s">
        <v>1122</v>
      </c>
      <c r="E850" s="143" t="s">
        <v>15</v>
      </c>
      <c r="F850" s="237">
        <f>F851</f>
        <v>920</v>
      </c>
      <c r="G850" s="238">
        <f t="shared" ref="G850:G851" si="193">G851</f>
        <v>562</v>
      </c>
      <c r="H850" s="131">
        <f t="shared" si="192"/>
        <v>61.086956521739133</v>
      </c>
    </row>
    <row r="851" spans="1:8" ht="31.5" x14ac:dyDescent="0.25">
      <c r="A851" s="181" t="s">
        <v>17</v>
      </c>
      <c r="B851" s="141" t="s">
        <v>1046</v>
      </c>
      <c r="C851" s="141" t="s">
        <v>990</v>
      </c>
      <c r="D851" s="146" t="s">
        <v>1122</v>
      </c>
      <c r="E851" s="143" t="s">
        <v>16</v>
      </c>
      <c r="F851" s="237">
        <f>F852</f>
        <v>920</v>
      </c>
      <c r="G851" s="238">
        <f t="shared" si="193"/>
        <v>562</v>
      </c>
      <c r="H851" s="131">
        <f t="shared" si="192"/>
        <v>61.086956521739133</v>
      </c>
    </row>
    <row r="852" spans="1:8" s="82" customFormat="1" ht="31.5" hidden="1" x14ac:dyDescent="0.25">
      <c r="A852" s="20" t="s">
        <v>502</v>
      </c>
      <c r="B852" s="2" t="s">
        <v>1046</v>
      </c>
      <c r="C852" s="2" t="s">
        <v>990</v>
      </c>
      <c r="D852" s="4" t="s">
        <v>1122</v>
      </c>
      <c r="E852" s="33" t="s">
        <v>451</v>
      </c>
      <c r="F852" s="25">
        <f>0+2646-2646+600+320</f>
        <v>920</v>
      </c>
      <c r="G852" s="67">
        <v>562</v>
      </c>
      <c r="H852" s="97">
        <f t="shared" si="192"/>
        <v>61.086956521739133</v>
      </c>
    </row>
    <row r="853" spans="1:8" ht="31.5" x14ac:dyDescent="0.25">
      <c r="A853" s="187" t="s">
        <v>842</v>
      </c>
      <c r="B853" s="141" t="s">
        <v>1046</v>
      </c>
      <c r="C853" s="141" t="s">
        <v>990</v>
      </c>
      <c r="D853" s="148" t="s">
        <v>807</v>
      </c>
      <c r="E853" s="148"/>
      <c r="F853" s="183">
        <f>F854</f>
        <v>374</v>
      </c>
      <c r="G853" s="183">
        <f t="shared" si="191"/>
        <v>373.81518999999997</v>
      </c>
      <c r="H853" s="131">
        <f t="shared" si="192"/>
        <v>99.95058556149732</v>
      </c>
    </row>
    <row r="854" spans="1:8" ht="31.5" x14ac:dyDescent="0.25">
      <c r="A854" s="181" t="s">
        <v>493</v>
      </c>
      <c r="B854" s="141" t="s">
        <v>1046</v>
      </c>
      <c r="C854" s="141" t="s">
        <v>990</v>
      </c>
      <c r="D854" s="141" t="s">
        <v>807</v>
      </c>
      <c r="E854" s="143" t="s">
        <v>34</v>
      </c>
      <c r="F854" s="160">
        <f>F855</f>
        <v>374</v>
      </c>
      <c r="G854" s="160">
        <f t="shared" si="191"/>
        <v>373.81518999999997</v>
      </c>
      <c r="H854" s="131">
        <f t="shared" si="192"/>
        <v>99.95058556149732</v>
      </c>
    </row>
    <row r="855" spans="1:8" ht="18.75" x14ac:dyDescent="0.25">
      <c r="A855" s="181" t="s">
        <v>33</v>
      </c>
      <c r="B855" s="141" t="s">
        <v>1046</v>
      </c>
      <c r="C855" s="141" t="s">
        <v>990</v>
      </c>
      <c r="D855" s="141" t="s">
        <v>807</v>
      </c>
      <c r="E855" s="143" t="s">
        <v>129</v>
      </c>
      <c r="F855" s="160">
        <f>F856</f>
        <v>374</v>
      </c>
      <c r="G855" s="160">
        <f t="shared" si="191"/>
        <v>373.81518999999997</v>
      </c>
      <c r="H855" s="131">
        <f t="shared" si="192"/>
        <v>99.95058556149732</v>
      </c>
    </row>
    <row r="856" spans="1:8" s="82" customFormat="1" ht="31.5" hidden="1" x14ac:dyDescent="0.25">
      <c r="A856" s="20" t="s">
        <v>84</v>
      </c>
      <c r="B856" s="2" t="s">
        <v>1046</v>
      </c>
      <c r="C856" s="2" t="s">
        <v>990</v>
      </c>
      <c r="D856" s="2" t="s">
        <v>807</v>
      </c>
      <c r="E856" s="33" t="s">
        <v>85</v>
      </c>
      <c r="F856" s="62">
        <f>1311-699-238</f>
        <v>374</v>
      </c>
      <c r="G856" s="62">
        <v>373.81518999999997</v>
      </c>
      <c r="H856" s="97">
        <f t="shared" si="192"/>
        <v>99.95058556149732</v>
      </c>
    </row>
    <row r="857" spans="1:8" ht="31.5" x14ac:dyDescent="0.2">
      <c r="A857" s="140" t="s">
        <v>762</v>
      </c>
      <c r="B857" s="141" t="s">
        <v>1046</v>
      </c>
      <c r="C857" s="141" t="s">
        <v>990</v>
      </c>
      <c r="D857" s="148" t="s">
        <v>617</v>
      </c>
      <c r="E857" s="149"/>
      <c r="F857" s="183">
        <f>F858</f>
        <v>8009.9931800000004</v>
      </c>
      <c r="G857" s="183">
        <f t="shared" ref="G857:G859" si="194">G858</f>
        <v>8009.9931800000004</v>
      </c>
      <c r="H857" s="131">
        <f t="shared" si="192"/>
        <v>100</v>
      </c>
    </row>
    <row r="858" spans="1:8" ht="31.5" x14ac:dyDescent="0.2">
      <c r="A858" s="145" t="s">
        <v>493</v>
      </c>
      <c r="B858" s="141" t="s">
        <v>1046</v>
      </c>
      <c r="C858" s="141" t="s">
        <v>990</v>
      </c>
      <c r="D858" s="141" t="s">
        <v>617</v>
      </c>
      <c r="E858" s="143" t="s">
        <v>34</v>
      </c>
      <c r="F858" s="160">
        <f>F859</f>
        <v>8009.9931800000004</v>
      </c>
      <c r="G858" s="160">
        <f t="shared" si="194"/>
        <v>8009.9931800000004</v>
      </c>
      <c r="H858" s="131">
        <f t="shared" si="192"/>
        <v>100</v>
      </c>
    </row>
    <row r="859" spans="1:8" ht="18.75" x14ac:dyDescent="0.2">
      <c r="A859" s="145" t="s">
        <v>33</v>
      </c>
      <c r="B859" s="141" t="s">
        <v>1046</v>
      </c>
      <c r="C859" s="141" t="s">
        <v>990</v>
      </c>
      <c r="D859" s="141" t="s">
        <v>617</v>
      </c>
      <c r="E859" s="143" t="s">
        <v>129</v>
      </c>
      <c r="F859" s="160">
        <f>F860</f>
        <v>8009.9931800000004</v>
      </c>
      <c r="G859" s="160">
        <f t="shared" si="194"/>
        <v>8009.9931800000004</v>
      </c>
      <c r="H859" s="131">
        <f t="shared" si="192"/>
        <v>100</v>
      </c>
    </row>
    <row r="860" spans="1:8" s="82" customFormat="1" ht="31.5" hidden="1" x14ac:dyDescent="0.2">
      <c r="A860" s="3" t="s">
        <v>84</v>
      </c>
      <c r="B860" s="2" t="s">
        <v>1046</v>
      </c>
      <c r="C860" s="2" t="s">
        <v>990</v>
      </c>
      <c r="D860" s="2" t="s">
        <v>617</v>
      </c>
      <c r="E860" s="33" t="s">
        <v>85</v>
      </c>
      <c r="F860" s="62">
        <f>9000-989-1.00682</f>
        <v>8009.9931800000004</v>
      </c>
      <c r="G860" s="62">
        <v>8009.9931800000004</v>
      </c>
      <c r="H860" s="97">
        <f t="shared" si="192"/>
        <v>100</v>
      </c>
    </row>
    <row r="861" spans="1:8" ht="18.75" x14ac:dyDescent="0.25">
      <c r="A861" s="239" t="s">
        <v>905</v>
      </c>
      <c r="B861" s="141" t="s">
        <v>1046</v>
      </c>
      <c r="C861" s="141" t="s">
        <v>990</v>
      </c>
      <c r="D861" s="148" t="s">
        <v>896</v>
      </c>
      <c r="E861" s="148"/>
      <c r="F861" s="183">
        <f>F862</f>
        <v>61.5</v>
      </c>
      <c r="G861" s="183">
        <f t="shared" ref="G861:G863" si="195">G862</f>
        <v>61.37724</v>
      </c>
      <c r="H861" s="131">
        <f t="shared" si="192"/>
        <v>99.800390243902442</v>
      </c>
    </row>
    <row r="862" spans="1:8" ht="18.75" x14ac:dyDescent="0.2">
      <c r="A862" s="145" t="s">
        <v>871</v>
      </c>
      <c r="B862" s="141" t="s">
        <v>1046</v>
      </c>
      <c r="C862" s="141" t="s">
        <v>990</v>
      </c>
      <c r="D862" s="141" t="s">
        <v>896</v>
      </c>
      <c r="E862" s="143" t="s">
        <v>15</v>
      </c>
      <c r="F862" s="160">
        <f>F863</f>
        <v>61.5</v>
      </c>
      <c r="G862" s="160">
        <f t="shared" si="195"/>
        <v>61.37724</v>
      </c>
      <c r="H862" s="131">
        <f t="shared" si="192"/>
        <v>99.800390243902442</v>
      </c>
    </row>
    <row r="863" spans="1:8" ht="31.5" x14ac:dyDescent="0.25">
      <c r="A863" s="181" t="s">
        <v>17</v>
      </c>
      <c r="B863" s="141" t="s">
        <v>1046</v>
      </c>
      <c r="C863" s="141" t="s">
        <v>990</v>
      </c>
      <c r="D863" s="141" t="s">
        <v>896</v>
      </c>
      <c r="E863" s="143" t="s">
        <v>16</v>
      </c>
      <c r="F863" s="160">
        <f>F864</f>
        <v>61.5</v>
      </c>
      <c r="G863" s="160">
        <f t="shared" si="195"/>
        <v>61.37724</v>
      </c>
      <c r="H863" s="131">
        <f t="shared" si="192"/>
        <v>99.800390243902442</v>
      </c>
    </row>
    <row r="864" spans="1:8" s="82" customFormat="1" ht="18.75" hidden="1" x14ac:dyDescent="0.25">
      <c r="A864" s="20" t="s">
        <v>549</v>
      </c>
      <c r="B864" s="2" t="s">
        <v>1046</v>
      </c>
      <c r="C864" s="2" t="s">
        <v>990</v>
      </c>
      <c r="D864" s="2" t="s">
        <v>896</v>
      </c>
      <c r="E864" s="33" t="s">
        <v>67</v>
      </c>
      <c r="F864" s="62">
        <v>61.5</v>
      </c>
      <c r="G864" s="62">
        <v>61.37724</v>
      </c>
      <c r="H864" s="97">
        <f t="shared" si="192"/>
        <v>99.800390243902442</v>
      </c>
    </row>
    <row r="865" spans="1:12" ht="18.75" x14ac:dyDescent="0.2">
      <c r="A865" s="140" t="s">
        <v>958</v>
      </c>
      <c r="B865" s="148" t="s">
        <v>1046</v>
      </c>
      <c r="C865" s="148" t="s">
        <v>990</v>
      </c>
      <c r="D865" s="148" t="s">
        <v>957</v>
      </c>
      <c r="E865" s="149"/>
      <c r="F865" s="240">
        <f>F866</f>
        <v>110198</v>
      </c>
      <c r="G865" s="240">
        <f t="shared" ref="G865:G867" si="196">G866</f>
        <v>110198</v>
      </c>
      <c r="H865" s="131">
        <f t="shared" si="192"/>
        <v>100</v>
      </c>
    </row>
    <row r="866" spans="1:12" ht="18.75" x14ac:dyDescent="0.25">
      <c r="A866" s="181" t="s">
        <v>13</v>
      </c>
      <c r="B866" s="141" t="s">
        <v>1046</v>
      </c>
      <c r="C866" s="141" t="s">
        <v>990</v>
      </c>
      <c r="D866" s="141" t="s">
        <v>957</v>
      </c>
      <c r="E866" s="143" t="s">
        <v>14</v>
      </c>
      <c r="F866" s="241">
        <f>F867</f>
        <v>110198</v>
      </c>
      <c r="G866" s="241">
        <f t="shared" si="196"/>
        <v>110198</v>
      </c>
      <c r="H866" s="131">
        <f t="shared" si="192"/>
        <v>100</v>
      </c>
    </row>
    <row r="867" spans="1:12" ht="47.25" x14ac:dyDescent="0.2">
      <c r="A867" s="145" t="s">
        <v>300</v>
      </c>
      <c r="B867" s="141" t="s">
        <v>1046</v>
      </c>
      <c r="C867" s="141" t="s">
        <v>990</v>
      </c>
      <c r="D867" s="141" t="s">
        <v>957</v>
      </c>
      <c r="E867" s="143" t="s">
        <v>12</v>
      </c>
      <c r="F867" s="241">
        <f>F868</f>
        <v>110198</v>
      </c>
      <c r="G867" s="241">
        <f t="shared" si="196"/>
        <v>110198</v>
      </c>
      <c r="H867" s="131">
        <f t="shared" si="192"/>
        <v>100</v>
      </c>
    </row>
    <row r="868" spans="1:12" s="82" customFormat="1" ht="47.25" hidden="1" x14ac:dyDescent="0.2">
      <c r="A868" s="53" t="s">
        <v>655</v>
      </c>
      <c r="B868" s="2" t="s">
        <v>1046</v>
      </c>
      <c r="C868" s="2" t="s">
        <v>990</v>
      </c>
      <c r="D868" s="2" t="s">
        <v>957</v>
      </c>
      <c r="E868" s="33" t="s">
        <v>893</v>
      </c>
      <c r="F868" s="37">
        <f>100000+10198</f>
        <v>110198</v>
      </c>
      <c r="G868" s="41">
        <v>110198</v>
      </c>
      <c r="H868" s="97">
        <f t="shared" si="192"/>
        <v>100</v>
      </c>
    </row>
    <row r="869" spans="1:12" s="244" customFormat="1" ht="31.5" x14ac:dyDescent="0.2">
      <c r="A869" s="242" t="s">
        <v>1141</v>
      </c>
      <c r="B869" s="148" t="s">
        <v>1046</v>
      </c>
      <c r="C869" s="148" t="s">
        <v>990</v>
      </c>
      <c r="D869" s="148" t="s">
        <v>1140</v>
      </c>
      <c r="E869" s="149"/>
      <c r="F869" s="240">
        <f t="shared" ref="F869:G871" si="197">F870</f>
        <v>46909</v>
      </c>
      <c r="G869" s="240">
        <f t="shared" si="197"/>
        <v>46909</v>
      </c>
      <c r="H869" s="131">
        <f t="shared" si="192"/>
        <v>100</v>
      </c>
      <c r="I869" s="99"/>
      <c r="J869" s="99"/>
      <c r="K869" s="99"/>
      <c r="L869" s="99"/>
    </row>
    <row r="870" spans="1:12" ht="18.75" x14ac:dyDescent="0.25">
      <c r="A870" s="243" t="s">
        <v>13</v>
      </c>
      <c r="B870" s="141" t="s">
        <v>1046</v>
      </c>
      <c r="C870" s="141" t="s">
        <v>990</v>
      </c>
      <c r="D870" s="141" t="s">
        <v>1140</v>
      </c>
      <c r="E870" s="143" t="s">
        <v>14</v>
      </c>
      <c r="F870" s="241">
        <f t="shared" si="197"/>
        <v>46909</v>
      </c>
      <c r="G870" s="241">
        <f t="shared" si="197"/>
        <v>46909</v>
      </c>
      <c r="H870" s="131">
        <f t="shared" si="192"/>
        <v>100</v>
      </c>
    </row>
    <row r="871" spans="1:12" ht="47.25" x14ac:dyDescent="0.2">
      <c r="A871" s="215" t="s">
        <v>300</v>
      </c>
      <c r="B871" s="141" t="s">
        <v>1046</v>
      </c>
      <c r="C871" s="141" t="s">
        <v>990</v>
      </c>
      <c r="D871" s="141" t="s">
        <v>1140</v>
      </c>
      <c r="E871" s="143" t="s">
        <v>12</v>
      </c>
      <c r="F871" s="241">
        <f t="shared" si="197"/>
        <v>46909</v>
      </c>
      <c r="G871" s="241">
        <f t="shared" si="197"/>
        <v>46909</v>
      </c>
      <c r="H871" s="131">
        <f t="shared" si="192"/>
        <v>100</v>
      </c>
    </row>
    <row r="872" spans="1:12" s="82" customFormat="1" ht="47.25" hidden="1" x14ac:dyDescent="0.25">
      <c r="A872" s="94" t="s">
        <v>470</v>
      </c>
      <c r="B872" s="2" t="s">
        <v>1046</v>
      </c>
      <c r="C872" s="2" t="s">
        <v>990</v>
      </c>
      <c r="D872" s="2" t="s">
        <v>1140</v>
      </c>
      <c r="E872" s="33" t="s">
        <v>473</v>
      </c>
      <c r="F872" s="37">
        <f>34810+3500+6980+1619</f>
        <v>46909</v>
      </c>
      <c r="G872" s="41">
        <v>46909</v>
      </c>
      <c r="H872" s="97">
        <f t="shared" si="192"/>
        <v>100</v>
      </c>
    </row>
    <row r="873" spans="1:12" ht="63" x14ac:dyDescent="0.25">
      <c r="A873" s="187" t="s">
        <v>967</v>
      </c>
      <c r="B873" s="148" t="s">
        <v>1046</v>
      </c>
      <c r="C873" s="148" t="s">
        <v>990</v>
      </c>
      <c r="D873" s="148" t="s">
        <v>931</v>
      </c>
      <c r="E873" s="149"/>
      <c r="F873" s="183">
        <f>F874</f>
        <v>40469.645860000004</v>
      </c>
      <c r="G873" s="160">
        <v>35264.585599999999</v>
      </c>
      <c r="H873" s="131">
        <f t="shared" si="192"/>
        <v>87.13835975237761</v>
      </c>
    </row>
    <row r="874" spans="1:12" ht="18.75" x14ac:dyDescent="0.2">
      <c r="A874" s="150" t="s">
        <v>871</v>
      </c>
      <c r="B874" s="141" t="s">
        <v>1046</v>
      </c>
      <c r="C874" s="141" t="s">
        <v>990</v>
      </c>
      <c r="D874" s="141" t="s">
        <v>931</v>
      </c>
      <c r="E874" s="151" t="s">
        <v>15</v>
      </c>
      <c r="F874" s="160">
        <f>F875</f>
        <v>40469.645860000004</v>
      </c>
      <c r="G874" s="160">
        <v>35264.585599999999</v>
      </c>
      <c r="H874" s="131">
        <f t="shared" si="192"/>
        <v>87.13835975237761</v>
      </c>
    </row>
    <row r="875" spans="1:12" ht="31.5" x14ac:dyDescent="0.2">
      <c r="A875" s="150" t="s">
        <v>17</v>
      </c>
      <c r="B875" s="141" t="s">
        <v>1046</v>
      </c>
      <c r="C875" s="141" t="s">
        <v>990</v>
      </c>
      <c r="D875" s="141" t="s">
        <v>931</v>
      </c>
      <c r="E875" s="151" t="s">
        <v>16</v>
      </c>
      <c r="F875" s="160">
        <f>F876</f>
        <v>40469.645860000004</v>
      </c>
      <c r="G875" s="160">
        <v>35264.585599999999</v>
      </c>
      <c r="H875" s="131">
        <f t="shared" si="192"/>
        <v>87.13835975237761</v>
      </c>
    </row>
    <row r="876" spans="1:12" s="82" customFormat="1" ht="31.5" hidden="1" x14ac:dyDescent="0.2">
      <c r="A876" s="19" t="s">
        <v>502</v>
      </c>
      <c r="B876" s="2" t="s">
        <v>1046</v>
      </c>
      <c r="C876" s="2" t="s">
        <v>990</v>
      </c>
      <c r="D876" s="2" t="s">
        <v>931</v>
      </c>
      <c r="E876" s="5" t="s">
        <v>451</v>
      </c>
      <c r="F876" s="62">
        <f>405.211+40116-0.001-51.56414</f>
        <v>40469.645860000004</v>
      </c>
      <c r="G876" s="62">
        <v>35264.585599999999</v>
      </c>
      <c r="H876" s="97">
        <f t="shared" si="192"/>
        <v>87.13835975237761</v>
      </c>
    </row>
    <row r="877" spans="1:12" ht="78.75" x14ac:dyDescent="0.2">
      <c r="A877" s="155" t="s">
        <v>843</v>
      </c>
      <c r="B877" s="141" t="s">
        <v>1046</v>
      </c>
      <c r="C877" s="141" t="s">
        <v>990</v>
      </c>
      <c r="D877" s="148" t="s">
        <v>793</v>
      </c>
      <c r="E877" s="148"/>
      <c r="F877" s="183">
        <f t="shared" ref="F877:G887" si="198">F878</f>
        <v>25633.331170000001</v>
      </c>
      <c r="G877" s="183">
        <f t="shared" si="198"/>
        <v>20979.28239</v>
      </c>
      <c r="H877" s="131">
        <f t="shared" si="192"/>
        <v>81.843761354564521</v>
      </c>
    </row>
    <row r="878" spans="1:12" ht="31.5" x14ac:dyDescent="0.25">
      <c r="A878" s="181" t="s">
        <v>493</v>
      </c>
      <c r="B878" s="141" t="s">
        <v>1046</v>
      </c>
      <c r="C878" s="141" t="s">
        <v>990</v>
      </c>
      <c r="D878" s="141" t="s">
        <v>793</v>
      </c>
      <c r="E878" s="143" t="s">
        <v>34</v>
      </c>
      <c r="F878" s="160">
        <f t="shared" si="198"/>
        <v>25633.331170000001</v>
      </c>
      <c r="G878" s="160">
        <f t="shared" si="198"/>
        <v>20979.28239</v>
      </c>
      <c r="H878" s="131">
        <f t="shared" si="192"/>
        <v>81.843761354564521</v>
      </c>
    </row>
    <row r="879" spans="1:12" ht="18.75" x14ac:dyDescent="0.25">
      <c r="A879" s="181" t="s">
        <v>33</v>
      </c>
      <c r="B879" s="141" t="s">
        <v>1046</v>
      </c>
      <c r="C879" s="141" t="s">
        <v>990</v>
      </c>
      <c r="D879" s="141" t="s">
        <v>793</v>
      </c>
      <c r="E879" s="143" t="s">
        <v>129</v>
      </c>
      <c r="F879" s="160">
        <f t="shared" si="198"/>
        <v>25633.331170000001</v>
      </c>
      <c r="G879" s="160">
        <f t="shared" si="198"/>
        <v>20979.28239</v>
      </c>
      <c r="H879" s="131">
        <f t="shared" si="192"/>
        <v>81.843761354564521</v>
      </c>
    </row>
    <row r="880" spans="1:12" s="82" customFormat="1" ht="31.5" hidden="1" x14ac:dyDescent="0.25">
      <c r="A880" s="20" t="s">
        <v>84</v>
      </c>
      <c r="B880" s="2" t="s">
        <v>1046</v>
      </c>
      <c r="C880" s="2" t="s">
        <v>990</v>
      </c>
      <c r="D880" s="2" t="s">
        <v>793</v>
      </c>
      <c r="E880" s="33" t="s">
        <v>85</v>
      </c>
      <c r="F880" s="62">
        <f>522.27+25377-265.93883</f>
        <v>25633.331170000001</v>
      </c>
      <c r="G880" s="62">
        <v>20979.28239</v>
      </c>
      <c r="H880" s="97">
        <f t="shared" si="192"/>
        <v>81.843761354564521</v>
      </c>
    </row>
    <row r="881" spans="1:12" ht="63" x14ac:dyDescent="0.2">
      <c r="A881" s="155" t="s">
        <v>794</v>
      </c>
      <c r="B881" s="141" t="s">
        <v>1046</v>
      </c>
      <c r="C881" s="141" t="s">
        <v>990</v>
      </c>
      <c r="D881" s="148" t="s">
        <v>795</v>
      </c>
      <c r="E881" s="148"/>
      <c r="F881" s="183">
        <f t="shared" si="198"/>
        <v>547958.50630000001</v>
      </c>
      <c r="G881" s="183">
        <f t="shared" si="198"/>
        <v>542756.83432999998</v>
      </c>
      <c r="H881" s="131">
        <f t="shared" si="192"/>
        <v>99.050717908346115</v>
      </c>
    </row>
    <row r="882" spans="1:12" ht="31.5" x14ac:dyDescent="0.25">
      <c r="A882" s="181" t="s">
        <v>493</v>
      </c>
      <c r="B882" s="141" t="s">
        <v>1046</v>
      </c>
      <c r="C882" s="141" t="s">
        <v>990</v>
      </c>
      <c r="D882" s="141" t="s">
        <v>795</v>
      </c>
      <c r="E882" s="143" t="s">
        <v>34</v>
      </c>
      <c r="F882" s="160">
        <f t="shared" si="198"/>
        <v>547958.50630000001</v>
      </c>
      <c r="G882" s="160">
        <f t="shared" si="198"/>
        <v>542756.83432999998</v>
      </c>
      <c r="H882" s="131">
        <f t="shared" si="192"/>
        <v>99.050717908346115</v>
      </c>
    </row>
    <row r="883" spans="1:12" ht="18.75" x14ac:dyDescent="0.25">
      <c r="A883" s="181" t="s">
        <v>33</v>
      </c>
      <c r="B883" s="141" t="s">
        <v>1046</v>
      </c>
      <c r="C883" s="141" t="s">
        <v>990</v>
      </c>
      <c r="D883" s="141" t="s">
        <v>795</v>
      </c>
      <c r="E883" s="143" t="s">
        <v>129</v>
      </c>
      <c r="F883" s="160">
        <f t="shared" si="198"/>
        <v>547958.50630000001</v>
      </c>
      <c r="G883" s="160">
        <f t="shared" si="198"/>
        <v>542756.83432999998</v>
      </c>
      <c r="H883" s="131">
        <f t="shared" si="192"/>
        <v>99.050717908346115</v>
      </c>
    </row>
    <row r="884" spans="1:12" s="82" customFormat="1" ht="31.5" hidden="1" x14ac:dyDescent="0.25">
      <c r="A884" s="20" t="s">
        <v>84</v>
      </c>
      <c r="B884" s="2" t="s">
        <v>1046</v>
      </c>
      <c r="C884" s="2" t="s">
        <v>990</v>
      </c>
      <c r="D884" s="2" t="s">
        <v>795</v>
      </c>
      <c r="E884" s="33" t="s">
        <v>85</v>
      </c>
      <c r="F884" s="62">
        <f>4996.93+494728+972-945+6275+63.44+418.5763+41449.56</f>
        <v>547958.50630000001</v>
      </c>
      <c r="G884" s="62">
        <v>542756.83432999998</v>
      </c>
      <c r="H884" s="97">
        <f t="shared" si="192"/>
        <v>99.050717908346115</v>
      </c>
    </row>
    <row r="885" spans="1:12" ht="63" x14ac:dyDescent="0.2">
      <c r="A885" s="155" t="s">
        <v>844</v>
      </c>
      <c r="B885" s="141" t="s">
        <v>1046</v>
      </c>
      <c r="C885" s="141" t="s">
        <v>990</v>
      </c>
      <c r="D885" s="148" t="s">
        <v>796</v>
      </c>
      <c r="E885" s="148"/>
      <c r="F885" s="183">
        <f t="shared" si="198"/>
        <v>81049.373139999996</v>
      </c>
      <c r="G885" s="183">
        <f t="shared" si="198"/>
        <v>74697.086030000006</v>
      </c>
      <c r="H885" s="131">
        <f t="shared" si="192"/>
        <v>92.162447574977023</v>
      </c>
    </row>
    <row r="886" spans="1:12" ht="31.5" x14ac:dyDescent="0.25">
      <c r="A886" s="181" t="s">
        <v>493</v>
      </c>
      <c r="B886" s="141" t="s">
        <v>1046</v>
      </c>
      <c r="C886" s="141" t="s">
        <v>990</v>
      </c>
      <c r="D886" s="141" t="s">
        <v>796</v>
      </c>
      <c r="E886" s="143" t="s">
        <v>34</v>
      </c>
      <c r="F886" s="160">
        <f t="shared" si="198"/>
        <v>81049.373139999996</v>
      </c>
      <c r="G886" s="160">
        <f t="shared" si="198"/>
        <v>74697.086030000006</v>
      </c>
      <c r="H886" s="131">
        <f t="shared" si="192"/>
        <v>92.162447574977023</v>
      </c>
    </row>
    <row r="887" spans="1:12" ht="18.75" x14ac:dyDescent="0.25">
      <c r="A887" s="181" t="s">
        <v>33</v>
      </c>
      <c r="B887" s="141" t="s">
        <v>1046</v>
      </c>
      <c r="C887" s="141" t="s">
        <v>990</v>
      </c>
      <c r="D887" s="141" t="s">
        <v>796</v>
      </c>
      <c r="E887" s="143" t="s">
        <v>129</v>
      </c>
      <c r="F887" s="160">
        <f t="shared" si="198"/>
        <v>81049.373139999996</v>
      </c>
      <c r="G887" s="160">
        <f t="shared" si="198"/>
        <v>74697.086030000006</v>
      </c>
      <c r="H887" s="131">
        <f t="shared" si="192"/>
        <v>92.162447574977023</v>
      </c>
    </row>
    <row r="888" spans="1:12" s="82" customFormat="1" ht="31.5" hidden="1" x14ac:dyDescent="0.25">
      <c r="A888" s="20" t="s">
        <v>84</v>
      </c>
      <c r="B888" s="2" t="s">
        <v>1046</v>
      </c>
      <c r="C888" s="2" t="s">
        <v>990</v>
      </c>
      <c r="D888" s="2" t="s">
        <v>796</v>
      </c>
      <c r="E888" s="33" t="s">
        <v>85</v>
      </c>
      <c r="F888" s="62">
        <f>850.56+84205+163-4064-136.18686+31</f>
        <v>81049.373139999996</v>
      </c>
      <c r="G888" s="62">
        <v>74697.086030000006</v>
      </c>
      <c r="H888" s="97">
        <f t="shared" si="192"/>
        <v>92.162447574977023</v>
      </c>
    </row>
    <row r="889" spans="1:12" ht="63" x14ac:dyDescent="0.2">
      <c r="A889" s="155" t="s">
        <v>845</v>
      </c>
      <c r="B889" s="141" t="s">
        <v>1046</v>
      </c>
      <c r="C889" s="141" t="s">
        <v>990</v>
      </c>
      <c r="D889" s="148" t="s">
        <v>797</v>
      </c>
      <c r="E889" s="148"/>
      <c r="F889" s="183">
        <f t="shared" ref="F889:G891" si="199">F890</f>
        <v>242640.98839000001</v>
      </c>
      <c r="G889" s="183">
        <f t="shared" si="199"/>
        <v>228305.10928999999</v>
      </c>
      <c r="H889" s="131">
        <f t="shared" si="192"/>
        <v>94.091732318136707</v>
      </c>
    </row>
    <row r="890" spans="1:12" ht="31.5" x14ac:dyDescent="0.25">
      <c r="A890" s="181" t="s">
        <v>493</v>
      </c>
      <c r="B890" s="141" t="s">
        <v>1046</v>
      </c>
      <c r="C890" s="141" t="s">
        <v>990</v>
      </c>
      <c r="D890" s="141" t="s">
        <v>797</v>
      </c>
      <c r="E890" s="143" t="s">
        <v>34</v>
      </c>
      <c r="F890" s="160">
        <f t="shared" si="199"/>
        <v>242640.98839000001</v>
      </c>
      <c r="G890" s="160">
        <f t="shared" si="199"/>
        <v>228305.10928999999</v>
      </c>
      <c r="H890" s="131">
        <f t="shared" si="192"/>
        <v>94.091732318136707</v>
      </c>
    </row>
    <row r="891" spans="1:12" ht="18.75" x14ac:dyDescent="0.25">
      <c r="A891" s="181" t="s">
        <v>33</v>
      </c>
      <c r="B891" s="141" t="s">
        <v>1046</v>
      </c>
      <c r="C891" s="141" t="s">
        <v>990</v>
      </c>
      <c r="D891" s="141" t="s">
        <v>797</v>
      </c>
      <c r="E891" s="143" t="s">
        <v>129</v>
      </c>
      <c r="F891" s="160">
        <f t="shared" si="199"/>
        <v>242640.98839000001</v>
      </c>
      <c r="G891" s="160">
        <f t="shared" si="199"/>
        <v>228305.10928999999</v>
      </c>
      <c r="H891" s="131">
        <f t="shared" si="192"/>
        <v>94.091732318136707</v>
      </c>
    </row>
    <row r="892" spans="1:12" s="82" customFormat="1" ht="31.5" hidden="1" x14ac:dyDescent="0.25">
      <c r="A892" s="20" t="s">
        <v>84</v>
      </c>
      <c r="B892" s="2" t="s">
        <v>1046</v>
      </c>
      <c r="C892" s="2" t="s">
        <v>990</v>
      </c>
      <c r="D892" s="2" t="s">
        <v>797</v>
      </c>
      <c r="E892" s="33" t="s">
        <v>85</v>
      </c>
      <c r="F892" s="62">
        <f>2312.56+228952+441-9314+108.98839+20140.44</f>
        <v>242640.98839000001</v>
      </c>
      <c r="G892" s="62">
        <v>228305.10928999999</v>
      </c>
      <c r="H892" s="97">
        <f t="shared" si="192"/>
        <v>94.091732318136707</v>
      </c>
    </row>
    <row r="893" spans="1:12" s="244" customFormat="1" ht="31.5" x14ac:dyDescent="0.25">
      <c r="A893" s="187" t="s">
        <v>1136</v>
      </c>
      <c r="B893" s="148" t="s">
        <v>1046</v>
      </c>
      <c r="C893" s="148" t="s">
        <v>990</v>
      </c>
      <c r="D893" s="148" t="s">
        <v>1135</v>
      </c>
      <c r="E893" s="149"/>
      <c r="F893" s="183">
        <f>F894</f>
        <v>57000</v>
      </c>
      <c r="G893" s="183">
        <f t="shared" ref="G893:G895" si="200">G894</f>
        <v>57000</v>
      </c>
      <c r="H893" s="131">
        <f t="shared" si="192"/>
        <v>100</v>
      </c>
      <c r="I893" s="99"/>
      <c r="J893" s="99"/>
      <c r="K893" s="99"/>
      <c r="L893" s="99"/>
    </row>
    <row r="894" spans="1:12" ht="18.75" x14ac:dyDescent="0.25">
      <c r="A894" s="181" t="s">
        <v>13</v>
      </c>
      <c r="B894" s="141" t="s">
        <v>1046</v>
      </c>
      <c r="C894" s="141" t="s">
        <v>990</v>
      </c>
      <c r="D894" s="141" t="s">
        <v>1135</v>
      </c>
      <c r="E894" s="143" t="s">
        <v>14</v>
      </c>
      <c r="F894" s="160">
        <f>F895</f>
        <v>57000</v>
      </c>
      <c r="G894" s="160">
        <f t="shared" si="200"/>
        <v>57000</v>
      </c>
      <c r="H894" s="131">
        <f t="shared" si="192"/>
        <v>100</v>
      </c>
    </row>
    <row r="895" spans="1:12" ht="47.25" x14ac:dyDescent="0.25">
      <c r="A895" s="165" t="s">
        <v>300</v>
      </c>
      <c r="B895" s="141" t="s">
        <v>1046</v>
      </c>
      <c r="C895" s="141" t="s">
        <v>990</v>
      </c>
      <c r="D895" s="141" t="s">
        <v>1135</v>
      </c>
      <c r="E895" s="143" t="s">
        <v>12</v>
      </c>
      <c r="F895" s="160">
        <f>F896</f>
        <v>57000</v>
      </c>
      <c r="G895" s="160">
        <f t="shared" si="200"/>
        <v>57000</v>
      </c>
      <c r="H895" s="131">
        <f t="shared" si="192"/>
        <v>100</v>
      </c>
    </row>
    <row r="896" spans="1:12" s="82" customFormat="1" ht="47.25" hidden="1" x14ac:dyDescent="0.25">
      <c r="A896" s="59" t="s">
        <v>470</v>
      </c>
      <c r="B896" s="2" t="s">
        <v>1046</v>
      </c>
      <c r="C896" s="2" t="s">
        <v>990</v>
      </c>
      <c r="D896" s="2" t="s">
        <v>1135</v>
      </c>
      <c r="E896" s="33" t="s">
        <v>473</v>
      </c>
      <c r="F896" s="62">
        <v>57000</v>
      </c>
      <c r="G896" s="62">
        <v>57000</v>
      </c>
      <c r="H896" s="97">
        <f t="shared" ref="H896:H947" si="201">G896/F896*100</f>
        <v>100</v>
      </c>
    </row>
    <row r="897" spans="1:11" ht="31.5" x14ac:dyDescent="0.2">
      <c r="A897" s="132" t="s">
        <v>1028</v>
      </c>
      <c r="B897" s="133" t="s">
        <v>1046</v>
      </c>
      <c r="C897" s="133" t="s">
        <v>990</v>
      </c>
      <c r="D897" s="133" t="s">
        <v>169</v>
      </c>
      <c r="E897" s="133"/>
      <c r="F897" s="134">
        <f>F898</f>
        <v>1744.5</v>
      </c>
      <c r="G897" s="134">
        <f t="shared" ref="G897:G899" si="202">G898</f>
        <v>1095.2931100000001</v>
      </c>
      <c r="H897" s="131">
        <f t="shared" si="201"/>
        <v>62.785503582688449</v>
      </c>
      <c r="K897" s="96">
        <f>1095.29311-G897</f>
        <v>0</v>
      </c>
    </row>
    <row r="898" spans="1:11" ht="31.5" x14ac:dyDescent="0.2">
      <c r="A898" s="132" t="s">
        <v>630</v>
      </c>
      <c r="B898" s="133" t="s">
        <v>1046</v>
      </c>
      <c r="C898" s="133" t="s">
        <v>990</v>
      </c>
      <c r="D898" s="139" t="s">
        <v>631</v>
      </c>
      <c r="E898" s="136"/>
      <c r="F898" s="134">
        <f>F899</f>
        <v>1744.5</v>
      </c>
      <c r="G898" s="134">
        <f t="shared" si="202"/>
        <v>1095.2931100000001</v>
      </c>
      <c r="H898" s="131">
        <f t="shared" si="201"/>
        <v>62.785503582688449</v>
      </c>
    </row>
    <row r="899" spans="1:11" ht="18.75" x14ac:dyDescent="0.2">
      <c r="A899" s="145" t="s">
        <v>634</v>
      </c>
      <c r="B899" s="219" t="s">
        <v>1046</v>
      </c>
      <c r="C899" s="219" t="s">
        <v>990</v>
      </c>
      <c r="D899" s="219" t="s">
        <v>635</v>
      </c>
      <c r="E899" s="141"/>
      <c r="F899" s="203">
        <f>F900</f>
        <v>1744.5</v>
      </c>
      <c r="G899" s="203">
        <f t="shared" si="202"/>
        <v>1095.2931100000001</v>
      </c>
      <c r="H899" s="131">
        <f t="shared" si="201"/>
        <v>62.785503582688449</v>
      </c>
    </row>
    <row r="900" spans="1:11" ht="18.75" x14ac:dyDescent="0.2">
      <c r="A900" s="140" t="s">
        <v>763</v>
      </c>
      <c r="B900" s="148" t="s">
        <v>1046</v>
      </c>
      <c r="C900" s="148" t="s">
        <v>990</v>
      </c>
      <c r="D900" s="142" t="s">
        <v>636</v>
      </c>
      <c r="E900" s="141"/>
      <c r="F900" s="183">
        <f t="shared" ref="F900:G902" si="203">F901</f>
        <v>1744.5</v>
      </c>
      <c r="G900" s="183">
        <f t="shared" si="203"/>
        <v>1095.2931100000001</v>
      </c>
      <c r="H900" s="131">
        <f t="shared" si="201"/>
        <v>62.785503582688449</v>
      </c>
    </row>
    <row r="901" spans="1:11" ht="18.75" x14ac:dyDescent="0.2">
      <c r="A901" s="145" t="s">
        <v>871</v>
      </c>
      <c r="B901" s="141" t="s">
        <v>1046</v>
      </c>
      <c r="C901" s="141" t="s">
        <v>990</v>
      </c>
      <c r="D901" s="146" t="s">
        <v>636</v>
      </c>
      <c r="E901" s="219">
        <v>200</v>
      </c>
      <c r="F901" s="160">
        <f t="shared" si="203"/>
        <v>1744.5</v>
      </c>
      <c r="G901" s="160">
        <f t="shared" si="203"/>
        <v>1095.2931100000001</v>
      </c>
      <c r="H901" s="131">
        <f t="shared" si="201"/>
        <v>62.785503582688449</v>
      </c>
    </row>
    <row r="902" spans="1:11" ht="31.5" x14ac:dyDescent="0.2">
      <c r="A902" s="145" t="s">
        <v>17</v>
      </c>
      <c r="B902" s="141" t="s">
        <v>1046</v>
      </c>
      <c r="C902" s="141" t="s">
        <v>990</v>
      </c>
      <c r="D902" s="146" t="s">
        <v>636</v>
      </c>
      <c r="E902" s="219">
        <v>240</v>
      </c>
      <c r="F902" s="160">
        <f t="shared" si="203"/>
        <v>1744.5</v>
      </c>
      <c r="G902" s="160">
        <f t="shared" si="203"/>
        <v>1095.2931100000001</v>
      </c>
      <c r="H902" s="131">
        <f t="shared" si="201"/>
        <v>62.785503582688449</v>
      </c>
    </row>
    <row r="903" spans="1:11" s="82" customFormat="1" ht="18.75" hidden="1" x14ac:dyDescent="0.2">
      <c r="A903" s="3" t="s">
        <v>548</v>
      </c>
      <c r="B903" s="2" t="s">
        <v>1046</v>
      </c>
      <c r="C903" s="2" t="s">
        <v>990</v>
      </c>
      <c r="D903" s="4" t="s">
        <v>636</v>
      </c>
      <c r="E903" s="49">
        <v>244</v>
      </c>
      <c r="F903" s="62">
        <f>3082+340-40-500-1000-4-134+0.5</f>
        <v>1744.5</v>
      </c>
      <c r="G903" s="62">
        <v>1095.2931100000001</v>
      </c>
      <c r="H903" s="97">
        <f t="shared" si="201"/>
        <v>62.785503582688449</v>
      </c>
    </row>
    <row r="904" spans="1:11" ht="18.75" x14ac:dyDescent="0.2">
      <c r="A904" s="132" t="s">
        <v>1011</v>
      </c>
      <c r="B904" s="133" t="s">
        <v>1046</v>
      </c>
      <c r="C904" s="133" t="s">
        <v>990</v>
      </c>
      <c r="D904" s="133" t="s">
        <v>161</v>
      </c>
      <c r="E904" s="133"/>
      <c r="F904" s="134">
        <f>F905</f>
        <v>23225.54</v>
      </c>
      <c r="G904" s="134">
        <f t="shared" ref="G904" si="204">G905</f>
        <v>23216.02881</v>
      </c>
      <c r="H904" s="131">
        <f t="shared" si="201"/>
        <v>99.959048573251692</v>
      </c>
    </row>
    <row r="905" spans="1:11" ht="18.75" x14ac:dyDescent="0.2">
      <c r="A905" s="145" t="s">
        <v>454</v>
      </c>
      <c r="B905" s="141" t="s">
        <v>1046</v>
      </c>
      <c r="C905" s="141" t="s">
        <v>990</v>
      </c>
      <c r="D905" s="141" t="s">
        <v>176</v>
      </c>
      <c r="E905" s="171"/>
      <c r="F905" s="147">
        <f t="shared" ref="F905:G905" si="205">F906</f>
        <v>23225.54</v>
      </c>
      <c r="G905" s="147">
        <f t="shared" si="205"/>
        <v>23216.02881</v>
      </c>
      <c r="H905" s="131">
        <f t="shared" si="201"/>
        <v>99.959048573251692</v>
      </c>
    </row>
    <row r="906" spans="1:11" ht="18.75" x14ac:dyDescent="0.2">
      <c r="A906" s="140" t="s">
        <v>455</v>
      </c>
      <c r="B906" s="148" t="s">
        <v>1046</v>
      </c>
      <c r="C906" s="148" t="s">
        <v>990</v>
      </c>
      <c r="D906" s="148" t="s">
        <v>463</v>
      </c>
      <c r="E906" s="148"/>
      <c r="F906" s="144">
        <f>F910+F907</f>
        <v>23225.54</v>
      </c>
      <c r="G906" s="144">
        <f t="shared" ref="G906" si="206">G910+G907</f>
        <v>23216.02881</v>
      </c>
      <c r="H906" s="131">
        <f t="shared" si="201"/>
        <v>99.959048573251692</v>
      </c>
    </row>
    <row r="907" spans="1:11" ht="18.75" x14ac:dyDescent="0.2">
      <c r="A907" s="145" t="s">
        <v>871</v>
      </c>
      <c r="B907" s="141" t="s">
        <v>1046</v>
      </c>
      <c r="C907" s="141" t="s">
        <v>990</v>
      </c>
      <c r="D907" s="141" t="s">
        <v>463</v>
      </c>
      <c r="E907" s="141" t="s">
        <v>15</v>
      </c>
      <c r="F907" s="147">
        <f>F908</f>
        <v>19891.8</v>
      </c>
      <c r="G907" s="147">
        <f t="shared" ref="G907:G908" si="207">G908</f>
        <v>19889.7896</v>
      </c>
      <c r="H907" s="131">
        <f t="shared" si="201"/>
        <v>99.989893322876767</v>
      </c>
    </row>
    <row r="908" spans="1:11" ht="31.5" x14ac:dyDescent="0.2">
      <c r="A908" s="145" t="s">
        <v>17</v>
      </c>
      <c r="B908" s="141" t="s">
        <v>1046</v>
      </c>
      <c r="C908" s="141" t="s">
        <v>990</v>
      </c>
      <c r="D908" s="141" t="s">
        <v>463</v>
      </c>
      <c r="E908" s="141" t="s">
        <v>16</v>
      </c>
      <c r="F908" s="147">
        <f>F909</f>
        <v>19891.8</v>
      </c>
      <c r="G908" s="147">
        <f t="shared" si="207"/>
        <v>19889.7896</v>
      </c>
      <c r="H908" s="131">
        <f t="shared" si="201"/>
        <v>99.989893322876767</v>
      </c>
    </row>
    <row r="909" spans="1:11" s="82" customFormat="1" ht="18.75" hidden="1" x14ac:dyDescent="0.2">
      <c r="A909" s="3" t="s">
        <v>548</v>
      </c>
      <c r="B909" s="2" t="s">
        <v>1046</v>
      </c>
      <c r="C909" s="2" t="s">
        <v>990</v>
      </c>
      <c r="D909" s="2" t="s">
        <v>463</v>
      </c>
      <c r="E909" s="2" t="s">
        <v>67</v>
      </c>
      <c r="F909" s="10">
        <f>1337+332+11465.8+6354+403</f>
        <v>19891.8</v>
      </c>
      <c r="G909" s="10">
        <v>19889.7896</v>
      </c>
      <c r="H909" s="97">
        <f t="shared" si="201"/>
        <v>99.989893322876767</v>
      </c>
    </row>
    <row r="910" spans="1:11" ht="18.75" x14ac:dyDescent="0.2">
      <c r="A910" s="145" t="s">
        <v>13</v>
      </c>
      <c r="B910" s="141" t="s">
        <v>1046</v>
      </c>
      <c r="C910" s="141" t="s">
        <v>990</v>
      </c>
      <c r="D910" s="141" t="s">
        <v>463</v>
      </c>
      <c r="E910" s="141" t="s">
        <v>14</v>
      </c>
      <c r="F910" s="147">
        <f t="shared" ref="F910:G911" si="208">F911</f>
        <v>3333.74</v>
      </c>
      <c r="G910" s="147">
        <f t="shared" si="208"/>
        <v>3326.2392100000002</v>
      </c>
      <c r="H910" s="131">
        <f t="shared" si="201"/>
        <v>99.775003749542563</v>
      </c>
    </row>
    <row r="911" spans="1:11" ht="18.75" x14ac:dyDescent="0.2">
      <c r="A911" s="145" t="s">
        <v>456</v>
      </c>
      <c r="B911" s="141" t="s">
        <v>1046</v>
      </c>
      <c r="C911" s="141" t="s">
        <v>990</v>
      </c>
      <c r="D911" s="141" t="s">
        <v>463</v>
      </c>
      <c r="E911" s="141" t="s">
        <v>457</v>
      </c>
      <c r="F911" s="147">
        <f t="shared" si="208"/>
        <v>3333.74</v>
      </c>
      <c r="G911" s="147">
        <f t="shared" si="208"/>
        <v>3326.2392100000002</v>
      </c>
      <c r="H911" s="131">
        <f t="shared" si="201"/>
        <v>99.775003749542563</v>
      </c>
    </row>
    <row r="912" spans="1:11" s="82" customFormat="1" ht="18.75" hidden="1" x14ac:dyDescent="0.2">
      <c r="A912" s="3" t="s">
        <v>1007</v>
      </c>
      <c r="B912" s="2" t="s">
        <v>1046</v>
      </c>
      <c r="C912" s="2" t="s">
        <v>990</v>
      </c>
      <c r="D912" s="2" t="s">
        <v>463</v>
      </c>
      <c r="E912" s="2" t="s">
        <v>458</v>
      </c>
      <c r="F912" s="62">
        <f>36+52+3+2546.5+592+104.24</f>
        <v>3333.74</v>
      </c>
      <c r="G912" s="62">
        <v>3326.2392100000002</v>
      </c>
      <c r="H912" s="97">
        <f t="shared" si="201"/>
        <v>99.775003749542563</v>
      </c>
    </row>
    <row r="913" spans="1:11" ht="18.75" x14ac:dyDescent="0.2">
      <c r="A913" s="132" t="s">
        <v>1049</v>
      </c>
      <c r="B913" s="133" t="s">
        <v>1046</v>
      </c>
      <c r="C913" s="133" t="s">
        <v>994</v>
      </c>
      <c r="D913" s="133"/>
      <c r="E913" s="133"/>
      <c r="F913" s="134">
        <f>F914+F924+F939+F1101</f>
        <v>2264924.8847000003</v>
      </c>
      <c r="G913" s="134">
        <f>G914+G924+G939+G1101</f>
        <v>2070400.6493500001</v>
      </c>
      <c r="H913" s="131">
        <f t="shared" si="201"/>
        <v>91.411448712314979</v>
      </c>
      <c r="K913" s="96">
        <f>2070400.64935-G913</f>
        <v>0</v>
      </c>
    </row>
    <row r="914" spans="1:11" ht="31.5" x14ac:dyDescent="0.2">
      <c r="A914" s="132" t="s">
        <v>1038</v>
      </c>
      <c r="B914" s="133" t="s">
        <v>1046</v>
      </c>
      <c r="C914" s="133" t="s">
        <v>994</v>
      </c>
      <c r="D914" s="133" t="s">
        <v>141</v>
      </c>
      <c r="E914" s="133"/>
      <c r="F914" s="134">
        <f>F915</f>
        <v>158511.43599999999</v>
      </c>
      <c r="G914" s="134">
        <f>G915</f>
        <v>127709.05503999999</v>
      </c>
      <c r="H914" s="131">
        <f t="shared" si="201"/>
        <v>80.567723227237693</v>
      </c>
      <c r="K914" s="96">
        <f>127709.05504-G914</f>
        <v>0</v>
      </c>
    </row>
    <row r="915" spans="1:11" ht="31.5" x14ac:dyDescent="0.2">
      <c r="A915" s="132" t="s">
        <v>516</v>
      </c>
      <c r="B915" s="185" t="s">
        <v>1046</v>
      </c>
      <c r="C915" s="185" t="s">
        <v>994</v>
      </c>
      <c r="D915" s="133" t="s">
        <v>143</v>
      </c>
      <c r="E915" s="211"/>
      <c r="F915" s="134">
        <f>F916+F920</f>
        <v>158511.43599999999</v>
      </c>
      <c r="G915" s="134">
        <f t="shared" ref="G915" si="209">G916+G920</f>
        <v>127709.05503999999</v>
      </c>
      <c r="H915" s="131">
        <f t="shared" si="201"/>
        <v>80.567723227237693</v>
      </c>
    </row>
    <row r="916" spans="1:11" ht="18.75" x14ac:dyDescent="0.2">
      <c r="A916" s="140" t="s">
        <v>119</v>
      </c>
      <c r="B916" s="209" t="s">
        <v>1046</v>
      </c>
      <c r="C916" s="209" t="s">
        <v>994</v>
      </c>
      <c r="D916" s="148" t="s">
        <v>145</v>
      </c>
      <c r="E916" s="218"/>
      <c r="F916" s="144">
        <f t="shared" ref="F916:G918" si="210">F917</f>
        <v>137637.43599999999</v>
      </c>
      <c r="G916" s="144">
        <f t="shared" si="210"/>
        <v>107165.10868999999</v>
      </c>
      <c r="H916" s="131">
        <f t="shared" si="201"/>
        <v>77.860436669279437</v>
      </c>
    </row>
    <row r="917" spans="1:11" ht="18.75" x14ac:dyDescent="0.2">
      <c r="A917" s="145" t="s">
        <v>871</v>
      </c>
      <c r="B917" s="210" t="s">
        <v>1046</v>
      </c>
      <c r="C917" s="210" t="s">
        <v>994</v>
      </c>
      <c r="D917" s="141" t="s">
        <v>145</v>
      </c>
      <c r="E917" s="219">
        <v>200</v>
      </c>
      <c r="F917" s="147">
        <f t="shared" si="210"/>
        <v>137637.43599999999</v>
      </c>
      <c r="G917" s="147">
        <f t="shared" si="210"/>
        <v>107165.10868999999</v>
      </c>
      <c r="H917" s="131">
        <f t="shared" si="201"/>
        <v>77.860436669279437</v>
      </c>
    </row>
    <row r="918" spans="1:11" ht="31.5" x14ac:dyDescent="0.2">
      <c r="A918" s="145" t="s">
        <v>17</v>
      </c>
      <c r="B918" s="210" t="s">
        <v>1046</v>
      </c>
      <c r="C918" s="210" t="s">
        <v>994</v>
      </c>
      <c r="D918" s="141" t="s">
        <v>145</v>
      </c>
      <c r="E918" s="219">
        <v>240</v>
      </c>
      <c r="F918" s="147">
        <f t="shared" si="210"/>
        <v>137637.43599999999</v>
      </c>
      <c r="G918" s="147">
        <f t="shared" si="210"/>
        <v>107165.10868999999</v>
      </c>
      <c r="H918" s="131">
        <f t="shared" si="201"/>
        <v>77.860436669279437</v>
      </c>
    </row>
    <row r="919" spans="1:11" s="82" customFormat="1" ht="18.75" hidden="1" x14ac:dyDescent="0.2">
      <c r="A919" s="3" t="s">
        <v>548</v>
      </c>
      <c r="B919" s="2" t="s">
        <v>1046</v>
      </c>
      <c r="C919" s="2" t="s">
        <v>994</v>
      </c>
      <c r="D919" s="4" t="s">
        <v>145</v>
      </c>
      <c r="E919" s="2">
        <v>244</v>
      </c>
      <c r="F919" s="10">
        <f>88729+19000+3000+2745+7000+17163.436</f>
        <v>137637.43599999999</v>
      </c>
      <c r="G919" s="10">
        <v>107165.10868999999</v>
      </c>
      <c r="H919" s="97">
        <f t="shared" si="201"/>
        <v>77.860436669279437</v>
      </c>
    </row>
    <row r="920" spans="1:11" ht="18.75" x14ac:dyDescent="0.2">
      <c r="A920" s="140" t="s">
        <v>517</v>
      </c>
      <c r="B920" s="209" t="s">
        <v>1046</v>
      </c>
      <c r="C920" s="209" t="s">
        <v>994</v>
      </c>
      <c r="D920" s="148" t="s">
        <v>453</v>
      </c>
      <c r="E920" s="218"/>
      <c r="F920" s="144">
        <f t="shared" ref="F920:G922" si="211">F921</f>
        <v>20874</v>
      </c>
      <c r="G920" s="144">
        <f t="shared" si="211"/>
        <v>20543.946349999998</v>
      </c>
      <c r="H920" s="131">
        <f t="shared" si="201"/>
        <v>98.418828925936566</v>
      </c>
    </row>
    <row r="921" spans="1:11" ht="18.75" x14ac:dyDescent="0.2">
      <c r="A921" s="145" t="s">
        <v>871</v>
      </c>
      <c r="B921" s="210" t="s">
        <v>1046</v>
      </c>
      <c r="C921" s="210" t="s">
        <v>994</v>
      </c>
      <c r="D921" s="141" t="s">
        <v>453</v>
      </c>
      <c r="E921" s="219">
        <v>200</v>
      </c>
      <c r="F921" s="147">
        <f t="shared" si="211"/>
        <v>20874</v>
      </c>
      <c r="G921" s="147">
        <f t="shared" si="211"/>
        <v>20543.946349999998</v>
      </c>
      <c r="H921" s="131">
        <f t="shared" si="201"/>
        <v>98.418828925936566</v>
      </c>
    </row>
    <row r="922" spans="1:11" ht="31.5" x14ac:dyDescent="0.2">
      <c r="A922" s="145" t="s">
        <v>17</v>
      </c>
      <c r="B922" s="210" t="s">
        <v>1046</v>
      </c>
      <c r="C922" s="210" t="s">
        <v>994</v>
      </c>
      <c r="D922" s="141" t="s">
        <v>453</v>
      </c>
      <c r="E922" s="219">
        <v>240</v>
      </c>
      <c r="F922" s="147">
        <f t="shared" si="211"/>
        <v>20874</v>
      </c>
      <c r="G922" s="147">
        <f t="shared" si="211"/>
        <v>20543.946349999998</v>
      </c>
      <c r="H922" s="131">
        <f t="shared" si="201"/>
        <v>98.418828925936566</v>
      </c>
    </row>
    <row r="923" spans="1:11" s="82" customFormat="1" ht="18.75" hidden="1" x14ac:dyDescent="0.2">
      <c r="A923" s="3" t="s">
        <v>548</v>
      </c>
      <c r="B923" s="2" t="s">
        <v>1046</v>
      </c>
      <c r="C923" s="2" t="s">
        <v>994</v>
      </c>
      <c r="D923" s="4" t="s">
        <v>453</v>
      </c>
      <c r="E923" s="2">
        <v>244</v>
      </c>
      <c r="F923" s="10">
        <f>11230+9438+3506-3300</f>
        <v>20874</v>
      </c>
      <c r="G923" s="10">
        <v>20543.946349999998</v>
      </c>
      <c r="H923" s="97">
        <f t="shared" si="201"/>
        <v>98.418828925936566</v>
      </c>
    </row>
    <row r="924" spans="1:11" ht="31.5" x14ac:dyDescent="0.2">
      <c r="A924" s="132" t="s">
        <v>1050</v>
      </c>
      <c r="B924" s="133" t="s">
        <v>1046</v>
      </c>
      <c r="C924" s="133" t="s">
        <v>994</v>
      </c>
      <c r="D924" s="133" t="s">
        <v>340</v>
      </c>
      <c r="E924" s="133"/>
      <c r="F924" s="134">
        <f>F925</f>
        <v>35261</v>
      </c>
      <c r="G924" s="134">
        <f>G925</f>
        <v>33556.196600000003</v>
      </c>
      <c r="H924" s="131">
        <f t="shared" si="201"/>
        <v>95.165187033833419</v>
      </c>
      <c r="K924" s="96">
        <f>33556.1966-G924</f>
        <v>0</v>
      </c>
    </row>
    <row r="925" spans="1:11" ht="18.75" x14ac:dyDescent="0.2">
      <c r="A925" s="132" t="s">
        <v>524</v>
      </c>
      <c r="B925" s="133" t="s">
        <v>1046</v>
      </c>
      <c r="C925" s="133" t="s">
        <v>994</v>
      </c>
      <c r="D925" s="139" t="s">
        <v>438</v>
      </c>
      <c r="E925" s="161"/>
      <c r="F925" s="134">
        <f>F926+F931+F935</f>
        <v>35261</v>
      </c>
      <c r="G925" s="134">
        <f>G926+G931+G935</f>
        <v>33556.196600000003</v>
      </c>
      <c r="H925" s="131">
        <f t="shared" si="201"/>
        <v>95.165187033833419</v>
      </c>
    </row>
    <row r="926" spans="1:11" ht="18.75" x14ac:dyDescent="0.2">
      <c r="A926" s="140" t="s">
        <v>81</v>
      </c>
      <c r="B926" s="148" t="s">
        <v>1046</v>
      </c>
      <c r="C926" s="148" t="s">
        <v>994</v>
      </c>
      <c r="D926" s="148" t="s">
        <v>439</v>
      </c>
      <c r="E926" s="148"/>
      <c r="F926" s="144">
        <f t="shared" ref="F926:G927" si="212">F927</f>
        <v>34891</v>
      </c>
      <c r="G926" s="144">
        <f t="shared" si="212"/>
        <v>33381.8966</v>
      </c>
      <c r="H926" s="131">
        <f t="shared" si="201"/>
        <v>95.674806110458292</v>
      </c>
    </row>
    <row r="927" spans="1:11" ht="18.75" x14ac:dyDescent="0.2">
      <c r="A927" s="145" t="s">
        <v>871</v>
      </c>
      <c r="B927" s="141" t="s">
        <v>1046</v>
      </c>
      <c r="C927" s="141" t="s">
        <v>994</v>
      </c>
      <c r="D927" s="141" t="s">
        <v>439</v>
      </c>
      <c r="E927" s="219">
        <v>200</v>
      </c>
      <c r="F927" s="147">
        <f t="shared" si="212"/>
        <v>34891</v>
      </c>
      <c r="G927" s="147">
        <f t="shared" si="212"/>
        <v>33381.8966</v>
      </c>
      <c r="H927" s="131">
        <f t="shared" si="201"/>
        <v>95.674806110458292</v>
      </c>
    </row>
    <row r="928" spans="1:11" ht="31.5" x14ac:dyDescent="0.2">
      <c r="A928" s="145" t="s">
        <v>17</v>
      </c>
      <c r="B928" s="141" t="s">
        <v>1046</v>
      </c>
      <c r="C928" s="141" t="s">
        <v>994</v>
      </c>
      <c r="D928" s="141" t="s">
        <v>439</v>
      </c>
      <c r="E928" s="219">
        <v>240</v>
      </c>
      <c r="F928" s="147">
        <f>F930+F929</f>
        <v>34891</v>
      </c>
      <c r="G928" s="147">
        <f>G930+G929</f>
        <v>33381.8966</v>
      </c>
      <c r="H928" s="131">
        <f t="shared" si="201"/>
        <v>95.674806110458292</v>
      </c>
    </row>
    <row r="929" spans="1:11" s="82" customFormat="1" ht="31.5" hidden="1" x14ac:dyDescent="0.2">
      <c r="A929" s="28" t="s">
        <v>389</v>
      </c>
      <c r="B929" s="2" t="s">
        <v>1046</v>
      </c>
      <c r="C929" s="2" t="s">
        <v>994</v>
      </c>
      <c r="D929" s="2" t="s">
        <v>439</v>
      </c>
      <c r="E929" s="2" t="s">
        <v>368</v>
      </c>
      <c r="F929" s="10">
        <v>2761.6559999999999</v>
      </c>
      <c r="G929" s="10">
        <v>2761.5720000000001</v>
      </c>
      <c r="H929" s="97">
        <f t="shared" si="201"/>
        <v>99.996958346731105</v>
      </c>
    </row>
    <row r="930" spans="1:11" s="82" customFormat="1" ht="18.75" hidden="1" x14ac:dyDescent="0.2">
      <c r="A930" s="3" t="s">
        <v>548</v>
      </c>
      <c r="B930" s="2" t="s">
        <v>1046</v>
      </c>
      <c r="C930" s="2" t="s">
        <v>994</v>
      </c>
      <c r="D930" s="4" t="s">
        <v>439</v>
      </c>
      <c r="E930" s="2">
        <v>244</v>
      </c>
      <c r="F930" s="10">
        <v>32129.344000000001</v>
      </c>
      <c r="G930" s="10">
        <v>30620.3246</v>
      </c>
      <c r="H930" s="97">
        <f t="shared" si="201"/>
        <v>95.303298442694626</v>
      </c>
    </row>
    <row r="931" spans="1:11" ht="18.75" x14ac:dyDescent="0.2">
      <c r="A931" s="140" t="s">
        <v>135</v>
      </c>
      <c r="B931" s="148" t="s">
        <v>1046</v>
      </c>
      <c r="C931" s="148" t="s">
        <v>994</v>
      </c>
      <c r="D931" s="148" t="s">
        <v>440</v>
      </c>
      <c r="E931" s="218"/>
      <c r="F931" s="144">
        <f t="shared" ref="F931:G933" si="213">F932</f>
        <v>68</v>
      </c>
      <c r="G931" s="144">
        <f t="shared" si="213"/>
        <v>0</v>
      </c>
      <c r="H931" s="131">
        <f t="shared" si="201"/>
        <v>0</v>
      </c>
    </row>
    <row r="932" spans="1:11" ht="18.75" x14ac:dyDescent="0.2">
      <c r="A932" s="145" t="s">
        <v>871</v>
      </c>
      <c r="B932" s="141" t="s">
        <v>1046</v>
      </c>
      <c r="C932" s="141" t="s">
        <v>994</v>
      </c>
      <c r="D932" s="141" t="s">
        <v>440</v>
      </c>
      <c r="E932" s="219">
        <v>200</v>
      </c>
      <c r="F932" s="147">
        <f t="shared" si="213"/>
        <v>68</v>
      </c>
      <c r="G932" s="147">
        <f t="shared" si="213"/>
        <v>0</v>
      </c>
      <c r="H932" s="131">
        <f t="shared" si="201"/>
        <v>0</v>
      </c>
    </row>
    <row r="933" spans="1:11" ht="31.5" x14ac:dyDescent="0.2">
      <c r="A933" s="145" t="s">
        <v>17</v>
      </c>
      <c r="B933" s="141" t="s">
        <v>1046</v>
      </c>
      <c r="C933" s="141" t="s">
        <v>994</v>
      </c>
      <c r="D933" s="141" t="s">
        <v>440</v>
      </c>
      <c r="E933" s="219">
        <v>240</v>
      </c>
      <c r="F933" s="147">
        <f t="shared" si="213"/>
        <v>68</v>
      </c>
      <c r="G933" s="147">
        <f t="shared" si="213"/>
        <v>0</v>
      </c>
      <c r="H933" s="131">
        <f t="shared" si="201"/>
        <v>0</v>
      </c>
    </row>
    <row r="934" spans="1:11" s="82" customFormat="1" ht="18.75" hidden="1" x14ac:dyDescent="0.2">
      <c r="A934" s="3" t="s">
        <v>548</v>
      </c>
      <c r="B934" s="2" t="s">
        <v>1046</v>
      </c>
      <c r="C934" s="2" t="s">
        <v>994</v>
      </c>
      <c r="D934" s="4" t="s">
        <v>440</v>
      </c>
      <c r="E934" s="2">
        <v>244</v>
      </c>
      <c r="F934" s="10">
        <v>68</v>
      </c>
      <c r="G934" s="10">
        <v>0</v>
      </c>
      <c r="H934" s="97">
        <f t="shared" si="201"/>
        <v>0</v>
      </c>
    </row>
    <row r="935" spans="1:11" ht="18.75" x14ac:dyDescent="0.2">
      <c r="A935" s="140" t="s">
        <v>309</v>
      </c>
      <c r="B935" s="148" t="s">
        <v>1046</v>
      </c>
      <c r="C935" s="148" t="s">
        <v>994</v>
      </c>
      <c r="D935" s="148" t="s">
        <v>441</v>
      </c>
      <c r="E935" s="218"/>
      <c r="F935" s="144">
        <f t="shared" ref="F935:G937" si="214">F936</f>
        <v>302</v>
      </c>
      <c r="G935" s="144">
        <f t="shared" si="214"/>
        <v>174.3</v>
      </c>
      <c r="H935" s="131">
        <f t="shared" si="201"/>
        <v>57.715231788079471</v>
      </c>
    </row>
    <row r="936" spans="1:11" ht="18.75" x14ac:dyDescent="0.2">
      <c r="A936" s="145" t="s">
        <v>871</v>
      </c>
      <c r="B936" s="141" t="s">
        <v>1046</v>
      </c>
      <c r="C936" s="141" t="s">
        <v>994</v>
      </c>
      <c r="D936" s="141" t="s">
        <v>441</v>
      </c>
      <c r="E936" s="219">
        <v>200</v>
      </c>
      <c r="F936" s="147">
        <f t="shared" si="214"/>
        <v>302</v>
      </c>
      <c r="G936" s="147">
        <f t="shared" si="214"/>
        <v>174.3</v>
      </c>
      <c r="H936" s="131">
        <f t="shared" si="201"/>
        <v>57.715231788079471</v>
      </c>
    </row>
    <row r="937" spans="1:11" ht="31.5" x14ac:dyDescent="0.2">
      <c r="A937" s="145" t="s">
        <v>17</v>
      </c>
      <c r="B937" s="141" t="s">
        <v>1046</v>
      </c>
      <c r="C937" s="141" t="s">
        <v>994</v>
      </c>
      <c r="D937" s="141" t="s">
        <v>441</v>
      </c>
      <c r="E937" s="219">
        <v>240</v>
      </c>
      <c r="F937" s="147">
        <f t="shared" si="214"/>
        <v>302</v>
      </c>
      <c r="G937" s="147">
        <f t="shared" si="214"/>
        <v>174.3</v>
      </c>
      <c r="H937" s="131">
        <f t="shared" si="201"/>
        <v>57.715231788079471</v>
      </c>
    </row>
    <row r="938" spans="1:11" s="82" customFormat="1" ht="18.75" hidden="1" x14ac:dyDescent="0.2">
      <c r="A938" s="3" t="s">
        <v>548</v>
      </c>
      <c r="B938" s="2" t="s">
        <v>1046</v>
      </c>
      <c r="C938" s="2" t="s">
        <v>994</v>
      </c>
      <c r="D938" s="4" t="s">
        <v>441</v>
      </c>
      <c r="E938" s="2">
        <v>244</v>
      </c>
      <c r="F938" s="10">
        <v>302</v>
      </c>
      <c r="G938" s="10">
        <v>174.3</v>
      </c>
      <c r="H938" s="97">
        <f t="shared" si="201"/>
        <v>57.715231788079471</v>
      </c>
    </row>
    <row r="939" spans="1:11" ht="31.5" x14ac:dyDescent="0.2">
      <c r="A939" s="132" t="s">
        <v>1006</v>
      </c>
      <c r="B939" s="133" t="s">
        <v>1046</v>
      </c>
      <c r="C939" s="133" t="s">
        <v>994</v>
      </c>
      <c r="D939" s="133" t="s">
        <v>585</v>
      </c>
      <c r="E939" s="133"/>
      <c r="F939" s="134">
        <f>F940+F1069</f>
        <v>2049995.8827000002</v>
      </c>
      <c r="G939" s="134">
        <f>G940+G1069</f>
        <v>1887988.7157600003</v>
      </c>
      <c r="H939" s="131">
        <f t="shared" si="201"/>
        <v>92.097195496479529</v>
      </c>
      <c r="K939" s="96">
        <f>1887988.71576-G939</f>
        <v>0</v>
      </c>
    </row>
    <row r="940" spans="1:11" ht="18.75" x14ac:dyDescent="0.2">
      <c r="A940" s="135" t="s">
        <v>715</v>
      </c>
      <c r="B940" s="136" t="s">
        <v>1046</v>
      </c>
      <c r="C940" s="136" t="s">
        <v>994</v>
      </c>
      <c r="D940" s="137" t="s">
        <v>716</v>
      </c>
      <c r="E940" s="136"/>
      <c r="F940" s="138">
        <f>F941+F968+F973+F1016+F1048</f>
        <v>1981906.9287000003</v>
      </c>
      <c r="G940" s="138">
        <f>G941+G968+G973+G1016+G1048</f>
        <v>1822257.4235400003</v>
      </c>
      <c r="H940" s="131">
        <f t="shared" si="201"/>
        <v>91.94465174685476</v>
      </c>
      <c r="K940" s="96">
        <f>1822257.42354-G940</f>
        <v>0</v>
      </c>
    </row>
    <row r="941" spans="1:11" ht="18.75" x14ac:dyDescent="0.2">
      <c r="A941" s="132" t="s">
        <v>587</v>
      </c>
      <c r="B941" s="133" t="s">
        <v>1046</v>
      </c>
      <c r="C941" s="133" t="s">
        <v>994</v>
      </c>
      <c r="D941" s="133" t="s">
        <v>717</v>
      </c>
      <c r="E941" s="133"/>
      <c r="F941" s="203">
        <f>F942+F946+F956+F960+F964</f>
        <v>174630.28700000001</v>
      </c>
      <c r="G941" s="203">
        <f>G942+G946+G956+G960+G964</f>
        <v>166852.98853</v>
      </c>
      <c r="H941" s="131">
        <f t="shared" si="201"/>
        <v>95.5464206103034</v>
      </c>
      <c r="K941" s="96">
        <f>166852.98853-G941</f>
        <v>0</v>
      </c>
    </row>
    <row r="942" spans="1:11" ht="18.75" x14ac:dyDescent="0.2">
      <c r="A942" s="140" t="s">
        <v>604</v>
      </c>
      <c r="B942" s="148" t="s">
        <v>1046</v>
      </c>
      <c r="C942" s="148" t="s">
        <v>994</v>
      </c>
      <c r="D942" s="148" t="s">
        <v>718</v>
      </c>
      <c r="E942" s="148"/>
      <c r="F942" s="183">
        <f>F943</f>
        <v>26379.5</v>
      </c>
      <c r="G942" s="183">
        <f>G943</f>
        <v>20696.724399999999</v>
      </c>
      <c r="H942" s="131">
        <f t="shared" si="201"/>
        <v>78.457606853806922</v>
      </c>
    </row>
    <row r="943" spans="1:11" ht="31.5" x14ac:dyDescent="0.2">
      <c r="A943" s="157" t="s">
        <v>493</v>
      </c>
      <c r="B943" s="141" t="s">
        <v>1046</v>
      </c>
      <c r="C943" s="141" t="s">
        <v>994</v>
      </c>
      <c r="D943" s="141" t="s">
        <v>718</v>
      </c>
      <c r="E943" s="141" t="s">
        <v>34</v>
      </c>
      <c r="F943" s="160">
        <f>F944</f>
        <v>26379.5</v>
      </c>
      <c r="G943" s="160">
        <f t="shared" ref="G943:G944" si="215">G944</f>
        <v>20696.724399999999</v>
      </c>
      <c r="H943" s="131">
        <f t="shared" si="201"/>
        <v>78.457606853806922</v>
      </c>
    </row>
    <row r="944" spans="1:11" ht="18.75" x14ac:dyDescent="0.2">
      <c r="A944" s="157" t="s">
        <v>33</v>
      </c>
      <c r="B944" s="141" t="s">
        <v>1046</v>
      </c>
      <c r="C944" s="141" t="s">
        <v>994</v>
      </c>
      <c r="D944" s="141" t="s">
        <v>718</v>
      </c>
      <c r="E944" s="141">
        <v>410</v>
      </c>
      <c r="F944" s="160">
        <f>F945</f>
        <v>26379.5</v>
      </c>
      <c r="G944" s="160">
        <f t="shared" si="215"/>
        <v>20696.724399999999</v>
      </c>
      <c r="H944" s="131">
        <f t="shared" si="201"/>
        <v>78.457606853806922</v>
      </c>
    </row>
    <row r="945" spans="1:8 16340:16347" s="82" customFormat="1" ht="31.5" hidden="1" x14ac:dyDescent="0.2">
      <c r="A945" s="28" t="s">
        <v>84</v>
      </c>
      <c r="B945" s="2" t="s">
        <v>1046</v>
      </c>
      <c r="C945" s="2" t="s">
        <v>994</v>
      </c>
      <c r="D945" s="2" t="s">
        <v>718</v>
      </c>
      <c r="E945" s="2" t="s">
        <v>85</v>
      </c>
      <c r="F945" s="62">
        <f>1403+13245+51+40.5+11640</f>
        <v>26379.5</v>
      </c>
      <c r="G945" s="68">
        <v>20696.724399999999</v>
      </c>
      <c r="H945" s="97">
        <f t="shared" si="201"/>
        <v>78.457606853806922</v>
      </c>
    </row>
    <row r="946" spans="1:8 16340:16347" ht="18.75" x14ac:dyDescent="0.2">
      <c r="A946" s="155" t="s">
        <v>605</v>
      </c>
      <c r="B946" s="148" t="s">
        <v>1046</v>
      </c>
      <c r="C946" s="148" t="s">
        <v>994</v>
      </c>
      <c r="D946" s="148" t="s">
        <v>719</v>
      </c>
      <c r="E946" s="148"/>
      <c r="F946" s="183">
        <f>F947+F953+F950</f>
        <v>53584.114000000009</v>
      </c>
      <c r="G946" s="183">
        <f>G947+G953+G950</f>
        <v>53371.336050000005</v>
      </c>
      <c r="H946" s="131">
        <f t="shared" si="201"/>
        <v>99.602908522477378</v>
      </c>
    </row>
    <row r="947" spans="1:8 16340:16347" ht="18.75" x14ac:dyDescent="0.2">
      <c r="A947" s="145" t="s">
        <v>871</v>
      </c>
      <c r="B947" s="141" t="s">
        <v>1046</v>
      </c>
      <c r="C947" s="141" t="s">
        <v>994</v>
      </c>
      <c r="D947" s="141" t="s">
        <v>719</v>
      </c>
      <c r="E947" s="141" t="s">
        <v>15</v>
      </c>
      <c r="F947" s="160">
        <f>F948</f>
        <v>35433.998000000007</v>
      </c>
      <c r="G947" s="160">
        <f t="shared" ref="G947:G948" si="216">G948</f>
        <v>35828.417520000003</v>
      </c>
      <c r="H947" s="131">
        <f t="shared" si="201"/>
        <v>101.11311040882261</v>
      </c>
    </row>
    <row r="948" spans="1:8 16340:16347" ht="31.5" x14ac:dyDescent="0.2">
      <c r="A948" s="145" t="s">
        <v>17</v>
      </c>
      <c r="B948" s="141" t="s">
        <v>1046</v>
      </c>
      <c r="C948" s="141" t="s">
        <v>994</v>
      </c>
      <c r="D948" s="141" t="s">
        <v>719</v>
      </c>
      <c r="E948" s="141" t="s">
        <v>16</v>
      </c>
      <c r="F948" s="160">
        <f>F949</f>
        <v>35433.998000000007</v>
      </c>
      <c r="G948" s="160">
        <f t="shared" si="216"/>
        <v>35828.417520000003</v>
      </c>
      <c r="H948" s="131">
        <f t="shared" ref="H948:H1008" si="217">G948/F948*100</f>
        <v>101.11311040882261</v>
      </c>
    </row>
    <row r="949" spans="1:8 16340:16347" s="82" customFormat="1" ht="18.75" hidden="1" x14ac:dyDescent="0.2">
      <c r="A949" s="3" t="s">
        <v>548</v>
      </c>
      <c r="B949" s="2" t="s">
        <v>1046</v>
      </c>
      <c r="C949" s="2" t="s">
        <v>994</v>
      </c>
      <c r="D949" s="4" t="s">
        <v>719</v>
      </c>
      <c r="E949" s="2" t="s">
        <v>67</v>
      </c>
      <c r="F949" s="10">
        <f>15000-2050+12000+2500-3931+9013.1-8016+2050+7000-1000+10518+3348-30+36000-36000-9944-525-275-100.682-123.42</f>
        <v>35433.998000000007</v>
      </c>
      <c r="G949" s="10">
        <v>35828.417520000003</v>
      </c>
      <c r="H949" s="97">
        <f t="shared" si="217"/>
        <v>101.11311040882261</v>
      </c>
      <c r="XDL949" s="3"/>
      <c r="XDM949" s="2"/>
      <c r="XDN949" s="2"/>
      <c r="XDO949" s="4"/>
      <c r="XDP949" s="2"/>
      <c r="XDQ949" s="10"/>
      <c r="XDR949" s="10"/>
      <c r="XDS949" s="10"/>
    </row>
    <row r="950" spans="1:8 16340:16347" ht="31.5" x14ac:dyDescent="0.2">
      <c r="A950" s="157" t="s">
        <v>493</v>
      </c>
      <c r="B950" s="141" t="s">
        <v>1046</v>
      </c>
      <c r="C950" s="141" t="s">
        <v>994</v>
      </c>
      <c r="D950" s="141" t="s">
        <v>719</v>
      </c>
      <c r="E950" s="141" t="s">
        <v>34</v>
      </c>
      <c r="F950" s="160">
        <f>F951</f>
        <v>10500</v>
      </c>
      <c r="G950" s="160">
        <f>G951</f>
        <v>10101.577090000001</v>
      </c>
      <c r="H950" s="131">
        <f t="shared" si="217"/>
        <v>96.20549609523809</v>
      </c>
    </row>
    <row r="951" spans="1:8 16340:16347" ht="18.75" x14ac:dyDescent="0.2">
      <c r="A951" s="157" t="s">
        <v>33</v>
      </c>
      <c r="B951" s="141" t="s">
        <v>1046</v>
      </c>
      <c r="C951" s="141" t="s">
        <v>994</v>
      </c>
      <c r="D951" s="141" t="s">
        <v>719</v>
      </c>
      <c r="E951" s="141">
        <v>410</v>
      </c>
      <c r="F951" s="160">
        <f>F952</f>
        <v>10500</v>
      </c>
      <c r="G951" s="160">
        <f>G952</f>
        <v>10101.577090000001</v>
      </c>
      <c r="H951" s="131">
        <f t="shared" si="217"/>
        <v>96.20549609523809</v>
      </c>
    </row>
    <row r="952" spans="1:8 16340:16347" s="82" customFormat="1" ht="31.5" hidden="1" x14ac:dyDescent="0.2">
      <c r="A952" s="28" t="s">
        <v>84</v>
      </c>
      <c r="B952" s="2" t="s">
        <v>1046</v>
      </c>
      <c r="C952" s="2" t="s">
        <v>994</v>
      </c>
      <c r="D952" s="2" t="s">
        <v>719</v>
      </c>
      <c r="E952" s="2" t="s">
        <v>85</v>
      </c>
      <c r="F952" s="62">
        <f>7000+3000+500</f>
        <v>10500</v>
      </c>
      <c r="G952" s="62">
        <v>10101.577090000001</v>
      </c>
      <c r="H952" s="97">
        <f t="shared" si="217"/>
        <v>96.20549609523809</v>
      </c>
    </row>
    <row r="953" spans="1:8 16340:16347" ht="31.5" x14ac:dyDescent="0.2">
      <c r="A953" s="145" t="s">
        <v>18</v>
      </c>
      <c r="B953" s="141" t="s">
        <v>1046</v>
      </c>
      <c r="C953" s="141" t="s">
        <v>994</v>
      </c>
      <c r="D953" s="141" t="s">
        <v>719</v>
      </c>
      <c r="E953" s="141" t="s">
        <v>20</v>
      </c>
      <c r="F953" s="166">
        <f t="shared" ref="F953:G954" si="218">F954</f>
        <v>7650.1160000000018</v>
      </c>
      <c r="G953" s="160">
        <f t="shared" si="218"/>
        <v>7441.3414400000001</v>
      </c>
      <c r="H953" s="131">
        <f t="shared" si="217"/>
        <v>97.27096216580243</v>
      </c>
    </row>
    <row r="954" spans="1:8 16340:16347" ht="18.75" x14ac:dyDescent="0.2">
      <c r="A954" s="145" t="s">
        <v>115</v>
      </c>
      <c r="B954" s="141" t="s">
        <v>1046</v>
      </c>
      <c r="C954" s="141" t="s">
        <v>994</v>
      </c>
      <c r="D954" s="141" t="s">
        <v>719</v>
      </c>
      <c r="E954" s="141" t="s">
        <v>21</v>
      </c>
      <c r="F954" s="166">
        <f t="shared" si="218"/>
        <v>7650.1160000000018</v>
      </c>
      <c r="G954" s="160">
        <f t="shared" si="218"/>
        <v>7441.3414400000001</v>
      </c>
      <c r="H954" s="131">
        <f t="shared" si="217"/>
        <v>97.27096216580243</v>
      </c>
    </row>
    <row r="955" spans="1:8 16340:16347" s="82" customFormat="1" ht="18.75" hidden="1" x14ac:dyDescent="0.2">
      <c r="A955" s="3" t="s">
        <v>74</v>
      </c>
      <c r="B955" s="2" t="s">
        <v>1046</v>
      </c>
      <c r="C955" s="2" t="s">
        <v>994</v>
      </c>
      <c r="D955" s="2" t="s">
        <v>719</v>
      </c>
      <c r="E955" s="2" t="s">
        <v>75</v>
      </c>
      <c r="F955" s="36">
        <f>8016+3000+100+75+400+100-3348-692.884+16180-16180</f>
        <v>7650.1160000000018</v>
      </c>
      <c r="G955" s="62">
        <v>7441.3414400000001</v>
      </c>
      <c r="H955" s="97">
        <f t="shared" si="217"/>
        <v>97.27096216580243</v>
      </c>
    </row>
    <row r="956" spans="1:8 16340:16347" ht="31.5" x14ac:dyDescent="0.2">
      <c r="A956" s="140" t="s">
        <v>768</v>
      </c>
      <c r="B956" s="148" t="s">
        <v>1046</v>
      </c>
      <c r="C956" s="148" t="s">
        <v>994</v>
      </c>
      <c r="D956" s="148" t="s">
        <v>767</v>
      </c>
      <c r="E956" s="148"/>
      <c r="F956" s="183">
        <f>F957</f>
        <v>15800</v>
      </c>
      <c r="G956" s="183">
        <f t="shared" ref="G956:G958" si="219">G957</f>
        <v>15590.005999999999</v>
      </c>
      <c r="H956" s="131">
        <f t="shared" si="217"/>
        <v>98.670924050632905</v>
      </c>
    </row>
    <row r="957" spans="1:8 16340:16347" ht="31.5" x14ac:dyDescent="0.2">
      <c r="A957" s="157" t="s">
        <v>493</v>
      </c>
      <c r="B957" s="141" t="s">
        <v>1046</v>
      </c>
      <c r="C957" s="141" t="s">
        <v>994</v>
      </c>
      <c r="D957" s="141" t="s">
        <v>767</v>
      </c>
      <c r="E957" s="141" t="s">
        <v>34</v>
      </c>
      <c r="F957" s="160">
        <f>F958</f>
        <v>15800</v>
      </c>
      <c r="G957" s="160">
        <f t="shared" si="219"/>
        <v>15590.005999999999</v>
      </c>
      <c r="H957" s="131">
        <f t="shared" si="217"/>
        <v>98.670924050632905</v>
      </c>
    </row>
    <row r="958" spans="1:8 16340:16347" ht="18.75" x14ac:dyDescent="0.2">
      <c r="A958" s="157" t="s">
        <v>33</v>
      </c>
      <c r="B958" s="141" t="s">
        <v>1046</v>
      </c>
      <c r="C958" s="141" t="s">
        <v>994</v>
      </c>
      <c r="D958" s="141" t="s">
        <v>767</v>
      </c>
      <c r="E958" s="141">
        <v>410</v>
      </c>
      <c r="F958" s="160">
        <f>F959</f>
        <v>15800</v>
      </c>
      <c r="G958" s="160">
        <f t="shared" si="219"/>
        <v>15590.005999999999</v>
      </c>
      <c r="H958" s="131">
        <f t="shared" si="217"/>
        <v>98.670924050632905</v>
      </c>
    </row>
    <row r="959" spans="1:8 16340:16347" s="82" customFormat="1" ht="31.5" hidden="1" x14ac:dyDescent="0.2">
      <c r="A959" s="28" t="s">
        <v>84</v>
      </c>
      <c r="B959" s="2" t="s">
        <v>1046</v>
      </c>
      <c r="C959" s="2" t="s">
        <v>994</v>
      </c>
      <c r="D959" s="2" t="s">
        <v>767</v>
      </c>
      <c r="E959" s="2" t="s">
        <v>85</v>
      </c>
      <c r="F959" s="62">
        <f>13743-1799+3856</f>
        <v>15800</v>
      </c>
      <c r="G959" s="62">
        <v>15590.005999999999</v>
      </c>
      <c r="H959" s="97">
        <f t="shared" si="217"/>
        <v>98.670924050632905</v>
      </c>
    </row>
    <row r="960" spans="1:8 16340:16347" ht="31.5" x14ac:dyDescent="0.25">
      <c r="A960" s="181" t="s">
        <v>1117</v>
      </c>
      <c r="B960" s="141" t="s">
        <v>1046</v>
      </c>
      <c r="C960" s="141" t="s">
        <v>994</v>
      </c>
      <c r="D960" s="141" t="s">
        <v>1116</v>
      </c>
      <c r="E960" s="141"/>
      <c r="F960" s="160">
        <f>F961</f>
        <v>73870.053000000014</v>
      </c>
      <c r="G960" s="160">
        <f>G961</f>
        <v>72707.053230000005</v>
      </c>
      <c r="H960" s="131">
        <f t="shared" si="217"/>
        <v>98.425614003552951</v>
      </c>
    </row>
    <row r="961" spans="1:8" ht="31.5" x14ac:dyDescent="0.2">
      <c r="A961" s="150" t="s">
        <v>432</v>
      </c>
      <c r="B961" s="141" t="s">
        <v>1046</v>
      </c>
      <c r="C961" s="141" t="s">
        <v>994</v>
      </c>
      <c r="D961" s="141" t="s">
        <v>1116</v>
      </c>
      <c r="E961" s="151" t="s">
        <v>15</v>
      </c>
      <c r="F961" s="245">
        <f>F962</f>
        <v>73870.053000000014</v>
      </c>
      <c r="G961" s="246">
        <f t="shared" ref="G961:G962" si="220">G962</f>
        <v>72707.053230000005</v>
      </c>
      <c r="H961" s="131">
        <f t="shared" si="217"/>
        <v>98.425614003552951</v>
      </c>
    </row>
    <row r="962" spans="1:8" ht="31.5" x14ac:dyDescent="0.25">
      <c r="A962" s="247" t="s">
        <v>17</v>
      </c>
      <c r="B962" s="141" t="s">
        <v>1046</v>
      </c>
      <c r="C962" s="141" t="s">
        <v>994</v>
      </c>
      <c r="D962" s="141" t="s">
        <v>1116</v>
      </c>
      <c r="E962" s="151" t="s">
        <v>16</v>
      </c>
      <c r="F962" s="245">
        <f>F963</f>
        <v>73870.053000000014</v>
      </c>
      <c r="G962" s="246">
        <f t="shared" si="220"/>
        <v>72707.053230000005</v>
      </c>
      <c r="H962" s="131">
        <f t="shared" si="217"/>
        <v>98.425614003552951</v>
      </c>
    </row>
    <row r="963" spans="1:8" s="82" customFormat="1" ht="18.75" hidden="1" x14ac:dyDescent="0.25">
      <c r="A963" s="7" t="s">
        <v>548</v>
      </c>
      <c r="B963" s="2" t="s">
        <v>1046</v>
      </c>
      <c r="C963" s="2" t="s">
        <v>994</v>
      </c>
      <c r="D963" s="2" t="s">
        <v>1116</v>
      </c>
      <c r="E963" s="5" t="s">
        <v>67</v>
      </c>
      <c r="F963" s="25">
        <f>44516.93+72019.51-14815.267-1700-25924.12-227</f>
        <v>73870.053000000014</v>
      </c>
      <c r="G963" s="67">
        <v>72707.053230000005</v>
      </c>
      <c r="H963" s="97">
        <f t="shared" si="217"/>
        <v>98.425614003552951</v>
      </c>
    </row>
    <row r="964" spans="1:8" ht="31.5" x14ac:dyDescent="0.2">
      <c r="A964" s="155" t="s">
        <v>937</v>
      </c>
      <c r="B964" s="148" t="s">
        <v>1046</v>
      </c>
      <c r="C964" s="148" t="s">
        <v>994</v>
      </c>
      <c r="D964" s="142" t="s">
        <v>1145</v>
      </c>
      <c r="E964" s="148"/>
      <c r="F964" s="168">
        <f>F965</f>
        <v>4996.62</v>
      </c>
      <c r="G964" s="183">
        <f t="shared" ref="G964:G966" si="221">G965</f>
        <v>4487.8688499999998</v>
      </c>
      <c r="H964" s="131">
        <f t="shared" si="217"/>
        <v>89.818094031565337</v>
      </c>
    </row>
    <row r="965" spans="1:8" ht="18.75" x14ac:dyDescent="0.2">
      <c r="A965" s="145" t="s">
        <v>871</v>
      </c>
      <c r="B965" s="141" t="s">
        <v>1046</v>
      </c>
      <c r="C965" s="141" t="s">
        <v>994</v>
      </c>
      <c r="D965" s="146" t="s">
        <v>1145</v>
      </c>
      <c r="E965" s="141" t="s">
        <v>15</v>
      </c>
      <c r="F965" s="166">
        <f>F966</f>
        <v>4996.62</v>
      </c>
      <c r="G965" s="183">
        <f t="shared" si="221"/>
        <v>4487.8688499999998</v>
      </c>
      <c r="H965" s="131">
        <f t="shared" si="217"/>
        <v>89.818094031565337</v>
      </c>
    </row>
    <row r="966" spans="1:8" ht="31.5" x14ac:dyDescent="0.2">
      <c r="A966" s="145" t="s">
        <v>17</v>
      </c>
      <c r="B966" s="141" t="s">
        <v>1046</v>
      </c>
      <c r="C966" s="141" t="s">
        <v>994</v>
      </c>
      <c r="D966" s="146" t="s">
        <v>1145</v>
      </c>
      <c r="E966" s="141" t="s">
        <v>16</v>
      </c>
      <c r="F966" s="166">
        <f>F967</f>
        <v>4996.62</v>
      </c>
      <c r="G966" s="183">
        <f t="shared" si="221"/>
        <v>4487.8688499999998</v>
      </c>
      <c r="H966" s="131">
        <f t="shared" si="217"/>
        <v>89.818094031565337</v>
      </c>
    </row>
    <row r="967" spans="1:8" s="82" customFormat="1" ht="18.75" hidden="1" x14ac:dyDescent="0.2">
      <c r="A967" s="3" t="s">
        <v>548</v>
      </c>
      <c r="B967" s="2" t="s">
        <v>1046</v>
      </c>
      <c r="C967" s="2" t="s">
        <v>994</v>
      </c>
      <c r="D967" s="4" t="s">
        <v>1145</v>
      </c>
      <c r="E967" s="2" t="s">
        <v>67</v>
      </c>
      <c r="F967" s="36">
        <f>3282.25+2028.84-314.47</f>
        <v>4996.62</v>
      </c>
      <c r="G967" s="64">
        <v>4487.8688499999998</v>
      </c>
      <c r="H967" s="97">
        <f t="shared" si="217"/>
        <v>89.818094031565337</v>
      </c>
    </row>
    <row r="968" spans="1:8" ht="18.75" x14ac:dyDescent="0.2">
      <c r="A968" s="248" t="s">
        <v>589</v>
      </c>
      <c r="B968" s="133" t="s">
        <v>1046</v>
      </c>
      <c r="C968" s="133" t="s">
        <v>994</v>
      </c>
      <c r="D968" s="125" t="s">
        <v>720</v>
      </c>
      <c r="E968" s="125"/>
      <c r="F968" s="249">
        <f>F969</f>
        <v>307478.05300000001</v>
      </c>
      <c r="G968" s="249">
        <f t="shared" ref="G968:G971" si="222">G969</f>
        <v>307477.13072999998</v>
      </c>
      <c r="H968" s="131">
        <f t="shared" si="217"/>
        <v>99.999700053388835</v>
      </c>
    </row>
    <row r="969" spans="1:8" ht="31.5" x14ac:dyDescent="0.2">
      <c r="A969" s="250" t="s">
        <v>588</v>
      </c>
      <c r="B969" s="148" t="s">
        <v>1046</v>
      </c>
      <c r="C969" s="148" t="s">
        <v>994</v>
      </c>
      <c r="D969" s="251" t="s">
        <v>721</v>
      </c>
      <c r="E969" s="251"/>
      <c r="F969" s="252">
        <f>F970</f>
        <v>307478.05300000001</v>
      </c>
      <c r="G969" s="252">
        <f t="shared" si="222"/>
        <v>307477.13072999998</v>
      </c>
      <c r="H969" s="131">
        <f t="shared" si="217"/>
        <v>99.999700053388835</v>
      </c>
    </row>
    <row r="970" spans="1:8" ht="18.75" x14ac:dyDescent="0.2">
      <c r="A970" s="145" t="s">
        <v>871</v>
      </c>
      <c r="B970" s="141" t="s">
        <v>1046</v>
      </c>
      <c r="C970" s="141" t="s">
        <v>994</v>
      </c>
      <c r="D970" s="141" t="s">
        <v>721</v>
      </c>
      <c r="E970" s="151" t="s">
        <v>15</v>
      </c>
      <c r="F970" s="253">
        <f>F971</f>
        <v>307478.05300000001</v>
      </c>
      <c r="G970" s="253">
        <f t="shared" si="222"/>
        <v>307477.13072999998</v>
      </c>
      <c r="H970" s="131">
        <f t="shared" si="217"/>
        <v>99.999700053388835</v>
      </c>
    </row>
    <row r="971" spans="1:8" ht="31.5" x14ac:dyDescent="0.2">
      <c r="A971" s="150" t="s">
        <v>17</v>
      </c>
      <c r="B971" s="141" t="s">
        <v>1046</v>
      </c>
      <c r="C971" s="141" t="s">
        <v>994</v>
      </c>
      <c r="D971" s="141" t="s">
        <v>721</v>
      </c>
      <c r="E971" s="151" t="s">
        <v>16</v>
      </c>
      <c r="F971" s="253">
        <f>F972</f>
        <v>307478.05300000001</v>
      </c>
      <c r="G971" s="253">
        <f t="shared" si="222"/>
        <v>307477.13072999998</v>
      </c>
      <c r="H971" s="131">
        <f t="shared" si="217"/>
        <v>99.999700053388835</v>
      </c>
    </row>
    <row r="972" spans="1:8" s="82" customFormat="1" ht="18.75" hidden="1" x14ac:dyDescent="0.2">
      <c r="A972" s="19" t="s">
        <v>548</v>
      </c>
      <c r="B972" s="2" t="s">
        <v>1046</v>
      </c>
      <c r="C972" s="2" t="s">
        <v>994</v>
      </c>
      <c r="D972" s="2" t="s">
        <v>721</v>
      </c>
      <c r="E972" s="5" t="s">
        <v>67</v>
      </c>
      <c r="F972" s="63">
        <f>320000-175-112-3019-143-2055-366-6651.947</f>
        <v>307478.05300000001</v>
      </c>
      <c r="G972" s="63">
        <v>307477.13072999998</v>
      </c>
      <c r="H972" s="97">
        <f t="shared" si="217"/>
        <v>99.999700053388835</v>
      </c>
    </row>
    <row r="973" spans="1:8" ht="18.75" x14ac:dyDescent="0.2">
      <c r="A973" s="132" t="s">
        <v>600</v>
      </c>
      <c r="B973" s="133" t="s">
        <v>1046</v>
      </c>
      <c r="C973" s="133" t="s">
        <v>994</v>
      </c>
      <c r="D973" s="133" t="s">
        <v>722</v>
      </c>
      <c r="E973" s="133"/>
      <c r="F973" s="203">
        <f>F974+F978+F1012+F985+F992+F996+F1000+F1004+F1008</f>
        <v>738172.54900000012</v>
      </c>
      <c r="G973" s="203">
        <f>G974+G978+G1012+G985+G992+G996+G1000+G1004+G1008</f>
        <v>721773.15162000025</v>
      </c>
      <c r="H973" s="131">
        <f t="shared" si="217"/>
        <v>97.778378862473815</v>
      </c>
    </row>
    <row r="974" spans="1:8" ht="18.75" x14ac:dyDescent="0.2">
      <c r="A974" s="140" t="s">
        <v>469</v>
      </c>
      <c r="B974" s="148" t="s">
        <v>1046</v>
      </c>
      <c r="C974" s="148" t="s">
        <v>994</v>
      </c>
      <c r="D974" s="148" t="s">
        <v>723</v>
      </c>
      <c r="E974" s="171"/>
      <c r="F974" s="183">
        <f>F975</f>
        <v>11477.132000000001</v>
      </c>
      <c r="G974" s="183">
        <f t="shared" ref="G974:G976" si="223">G975</f>
        <v>11476.298269999999</v>
      </c>
      <c r="H974" s="131">
        <f t="shared" si="217"/>
        <v>99.992735728751725</v>
      </c>
    </row>
    <row r="975" spans="1:8" ht="18.75" x14ac:dyDescent="0.2">
      <c r="A975" s="145" t="s">
        <v>871</v>
      </c>
      <c r="B975" s="141" t="s">
        <v>1046</v>
      </c>
      <c r="C975" s="141" t="s">
        <v>994</v>
      </c>
      <c r="D975" s="141" t="s">
        <v>723</v>
      </c>
      <c r="E975" s="141" t="s">
        <v>15</v>
      </c>
      <c r="F975" s="160">
        <f>F976</f>
        <v>11477.132000000001</v>
      </c>
      <c r="G975" s="160">
        <f t="shared" si="223"/>
        <v>11476.298269999999</v>
      </c>
      <c r="H975" s="131">
        <f t="shared" si="217"/>
        <v>99.992735728751725</v>
      </c>
    </row>
    <row r="976" spans="1:8" ht="31.5" x14ac:dyDescent="0.2">
      <c r="A976" s="145" t="s">
        <v>17</v>
      </c>
      <c r="B976" s="141" t="s">
        <v>1046</v>
      </c>
      <c r="C976" s="141" t="s">
        <v>994</v>
      </c>
      <c r="D976" s="141" t="s">
        <v>723</v>
      </c>
      <c r="E976" s="141" t="s">
        <v>16</v>
      </c>
      <c r="F976" s="160">
        <f>F977</f>
        <v>11477.132000000001</v>
      </c>
      <c r="G976" s="160">
        <f t="shared" si="223"/>
        <v>11476.298269999999</v>
      </c>
      <c r="H976" s="131">
        <f t="shared" si="217"/>
        <v>99.992735728751725</v>
      </c>
    </row>
    <row r="977" spans="1:8 16320:16347" s="82" customFormat="1" ht="18.75" hidden="1" x14ac:dyDescent="0.2">
      <c r="A977" s="3" t="s">
        <v>548</v>
      </c>
      <c r="B977" s="2" t="s">
        <v>1046</v>
      </c>
      <c r="C977" s="2" t="s">
        <v>994</v>
      </c>
      <c r="D977" s="4" t="s">
        <v>723</v>
      </c>
      <c r="E977" s="2" t="s">
        <v>67</v>
      </c>
      <c r="F977" s="10">
        <f>10000+2500-3000+1000+1000+1000-1004-153.266+2996-0.3-1500-416-130.749-600-15.5-45-67-0.953-86.1</f>
        <v>11477.132000000001</v>
      </c>
      <c r="G977" s="10">
        <v>11476.298269999999</v>
      </c>
      <c r="H977" s="97">
        <f t="shared" si="217"/>
        <v>99.992735728751725</v>
      </c>
      <c r="XCR977" s="3"/>
      <c r="XCS977" s="2"/>
      <c r="XCT977" s="2"/>
      <c r="XCU977" s="4"/>
      <c r="XCV977" s="2"/>
      <c r="XCW977" s="10"/>
      <c r="XCX977" s="10"/>
      <c r="XCY977" s="10"/>
      <c r="XDL977" s="3"/>
      <c r="XDM977" s="2"/>
      <c r="XDN977" s="2"/>
      <c r="XDO977" s="4"/>
      <c r="XDP977" s="2"/>
      <c r="XDQ977" s="10"/>
      <c r="XDR977" s="10"/>
      <c r="XDS977" s="10"/>
    </row>
    <row r="978" spans="1:8 16320:16347" ht="18.75" x14ac:dyDescent="0.2">
      <c r="A978" s="155" t="s">
        <v>514</v>
      </c>
      <c r="B978" s="148" t="s">
        <v>1046</v>
      </c>
      <c r="C978" s="148" t="s">
        <v>994</v>
      </c>
      <c r="D978" s="148" t="s">
        <v>724</v>
      </c>
      <c r="E978" s="148"/>
      <c r="F978" s="183">
        <f>F979+F982</f>
        <v>598056.152</v>
      </c>
      <c r="G978" s="183">
        <f t="shared" ref="G978" si="224">G979+G982</f>
        <v>597262.09831000003</v>
      </c>
      <c r="H978" s="131">
        <f t="shared" si="217"/>
        <v>99.867227569293533</v>
      </c>
    </row>
    <row r="979" spans="1:8 16320:16347" ht="18.75" x14ac:dyDescent="0.2">
      <c r="A979" s="145" t="s">
        <v>871</v>
      </c>
      <c r="B979" s="141" t="s">
        <v>1046</v>
      </c>
      <c r="C979" s="141" t="s">
        <v>994</v>
      </c>
      <c r="D979" s="141" t="s">
        <v>724</v>
      </c>
      <c r="E979" s="141" t="s">
        <v>15</v>
      </c>
      <c r="F979" s="160">
        <f>F980</f>
        <v>263603.34299999994</v>
      </c>
      <c r="G979" s="160">
        <f t="shared" ref="G979:G980" si="225">G980</f>
        <v>262809.28931000002</v>
      </c>
      <c r="H979" s="131">
        <f t="shared" si="217"/>
        <v>99.698769491705605</v>
      </c>
    </row>
    <row r="980" spans="1:8 16320:16347" ht="31.5" x14ac:dyDescent="0.2">
      <c r="A980" s="145" t="s">
        <v>17</v>
      </c>
      <c r="B980" s="141" t="s">
        <v>1046</v>
      </c>
      <c r="C980" s="141" t="s">
        <v>994</v>
      </c>
      <c r="D980" s="141" t="s">
        <v>724</v>
      </c>
      <c r="E980" s="141" t="s">
        <v>16</v>
      </c>
      <c r="F980" s="160">
        <f>F981</f>
        <v>263603.34299999994</v>
      </c>
      <c r="G980" s="160">
        <f t="shared" si="225"/>
        <v>262809.28931000002</v>
      </c>
      <c r="H980" s="131">
        <f t="shared" si="217"/>
        <v>99.698769491705605</v>
      </c>
    </row>
    <row r="981" spans="1:8 16320:16347" s="82" customFormat="1" ht="18.75" hidden="1" x14ac:dyDescent="0.2">
      <c r="A981" s="3" t="s">
        <v>548</v>
      </c>
      <c r="B981" s="2" t="s">
        <v>1046</v>
      </c>
      <c r="C981" s="2" t="s">
        <v>994</v>
      </c>
      <c r="D981" s="2" t="s">
        <v>724</v>
      </c>
      <c r="E981" s="2" t="s">
        <v>67</v>
      </c>
      <c r="F981" s="62">
        <f>298650-8000-1311-26500-2731+11500-639+6000+4752+4533-1500+9000-500-180-3000-562-154.26-6634-3049-255-6500-5673.177-800-416+162+481.703-1200-200-500-193-38+400+100+25-1700+235.077</f>
        <v>263603.34299999994</v>
      </c>
      <c r="G981" s="62">
        <v>262809.28931000002</v>
      </c>
      <c r="H981" s="97">
        <f t="shared" si="217"/>
        <v>99.698769491705605</v>
      </c>
    </row>
    <row r="982" spans="1:8 16320:16347" ht="31.5" x14ac:dyDescent="0.2">
      <c r="A982" s="157" t="s">
        <v>18</v>
      </c>
      <c r="B982" s="141" t="s">
        <v>1046</v>
      </c>
      <c r="C982" s="141" t="s">
        <v>994</v>
      </c>
      <c r="D982" s="141" t="s">
        <v>724</v>
      </c>
      <c r="E982" s="219">
        <v>600</v>
      </c>
      <c r="F982" s="160">
        <f>F983</f>
        <v>334452.80900000001</v>
      </c>
      <c r="G982" s="160">
        <f t="shared" ref="G982:G983" si="226">G983</f>
        <v>334452.80900000001</v>
      </c>
      <c r="H982" s="131">
        <f t="shared" si="217"/>
        <v>100</v>
      </c>
    </row>
    <row r="983" spans="1:8 16320:16347" ht="18.75" x14ac:dyDescent="0.2">
      <c r="A983" s="157" t="s">
        <v>24</v>
      </c>
      <c r="B983" s="141" t="s">
        <v>1046</v>
      </c>
      <c r="C983" s="141" t="s">
        <v>994</v>
      </c>
      <c r="D983" s="141" t="s">
        <v>724</v>
      </c>
      <c r="E983" s="219">
        <v>610</v>
      </c>
      <c r="F983" s="160">
        <f>F984</f>
        <v>334452.80900000001</v>
      </c>
      <c r="G983" s="160">
        <f t="shared" si="226"/>
        <v>334452.80900000001</v>
      </c>
      <c r="H983" s="131">
        <f t="shared" si="217"/>
        <v>100</v>
      </c>
    </row>
    <row r="984" spans="1:8 16320:16347" s="82" customFormat="1" ht="47.25" hidden="1" x14ac:dyDescent="0.2">
      <c r="A984" s="28" t="s">
        <v>88</v>
      </c>
      <c r="B984" s="2" t="s">
        <v>1046</v>
      </c>
      <c r="C984" s="2" t="s">
        <v>994</v>
      </c>
      <c r="D984" s="2" t="s">
        <v>724</v>
      </c>
      <c r="E984" s="49">
        <v>611</v>
      </c>
      <c r="F984" s="62">
        <f>294320-3000+154.26+177.962+25000+14495.14+3305.447</f>
        <v>334452.80900000001</v>
      </c>
      <c r="G984" s="62">
        <v>334452.80900000001</v>
      </c>
      <c r="H984" s="97">
        <f t="shared" si="217"/>
        <v>100</v>
      </c>
    </row>
    <row r="985" spans="1:8 16320:16347" ht="18.75" x14ac:dyDescent="0.2">
      <c r="A985" s="140" t="s">
        <v>897</v>
      </c>
      <c r="B985" s="148" t="s">
        <v>1046</v>
      </c>
      <c r="C985" s="148" t="s">
        <v>994</v>
      </c>
      <c r="D985" s="142" t="s">
        <v>898</v>
      </c>
      <c r="E985" s="148"/>
      <c r="F985" s="168">
        <f>F986+F989</f>
        <v>90083.114000000001</v>
      </c>
      <c r="G985" s="168">
        <f t="shared" ref="G985" si="227">G986+G989</f>
        <v>89107.874219999998</v>
      </c>
      <c r="H985" s="131">
        <f t="shared" si="217"/>
        <v>98.91740001350307</v>
      </c>
    </row>
    <row r="986" spans="1:8 16320:16347" ht="18.75" x14ac:dyDescent="0.2">
      <c r="A986" s="145" t="s">
        <v>871</v>
      </c>
      <c r="B986" s="141" t="s">
        <v>1046</v>
      </c>
      <c r="C986" s="141" t="s">
        <v>994</v>
      </c>
      <c r="D986" s="146" t="s">
        <v>898</v>
      </c>
      <c r="E986" s="141" t="s">
        <v>15</v>
      </c>
      <c r="F986" s="166">
        <f>F987</f>
        <v>59651.113999999994</v>
      </c>
      <c r="G986" s="166">
        <f t="shared" ref="G986:G987" si="228">G987</f>
        <v>58992.662279999997</v>
      </c>
      <c r="H986" s="131">
        <f t="shared" si="217"/>
        <v>98.896161905710599</v>
      </c>
    </row>
    <row r="987" spans="1:8 16320:16347" ht="31.5" x14ac:dyDescent="0.2">
      <c r="A987" s="145" t="s">
        <v>17</v>
      </c>
      <c r="B987" s="141" t="s">
        <v>1046</v>
      </c>
      <c r="C987" s="141" t="s">
        <v>994</v>
      </c>
      <c r="D987" s="146" t="s">
        <v>898</v>
      </c>
      <c r="E987" s="141" t="s">
        <v>16</v>
      </c>
      <c r="F987" s="166">
        <f>F988</f>
        <v>59651.113999999994</v>
      </c>
      <c r="G987" s="166">
        <f t="shared" si="228"/>
        <v>58992.662279999997</v>
      </c>
      <c r="H987" s="131">
        <f t="shared" si="217"/>
        <v>98.896161905710599</v>
      </c>
    </row>
    <row r="988" spans="1:8 16320:16347" s="82" customFormat="1" ht="18.75" hidden="1" x14ac:dyDescent="0.2">
      <c r="A988" s="3" t="s">
        <v>548</v>
      </c>
      <c r="B988" s="2" t="s">
        <v>1046</v>
      </c>
      <c r="C988" s="2" t="s">
        <v>994</v>
      </c>
      <c r="D988" s="4" t="s">
        <v>898</v>
      </c>
      <c r="E988" s="2" t="s">
        <v>67</v>
      </c>
      <c r="F988" s="36">
        <f>23023+6669.54+2180.72+11827.21+1446.63-23023-52.5-455-195+6184.3+4700+17673+4208+577+518+1300+5600+258-1000+1003-325-185-715.459-2011-154+300+200+300+200-401.327</f>
        <v>59651.113999999994</v>
      </c>
      <c r="G988" s="62">
        <v>58992.662279999997</v>
      </c>
      <c r="H988" s="97">
        <f t="shared" si="217"/>
        <v>98.896161905710599</v>
      </c>
    </row>
    <row r="989" spans="1:8 16320:16347" ht="31.5" x14ac:dyDescent="0.2">
      <c r="A989" s="145" t="s">
        <v>18</v>
      </c>
      <c r="B989" s="141" t="s">
        <v>1046</v>
      </c>
      <c r="C989" s="141" t="s">
        <v>994</v>
      </c>
      <c r="D989" s="146" t="s">
        <v>898</v>
      </c>
      <c r="E989" s="141" t="s">
        <v>20</v>
      </c>
      <c r="F989" s="254">
        <f>F990</f>
        <v>30432</v>
      </c>
      <c r="G989" s="255">
        <f t="shared" ref="G989" si="229">G990</f>
        <v>30115.211940000001</v>
      </c>
      <c r="H989" s="131">
        <f t="shared" si="217"/>
        <v>98.959029771293388</v>
      </c>
    </row>
    <row r="990" spans="1:8 16320:16347" ht="18.75" x14ac:dyDescent="0.2">
      <c r="A990" s="145" t="s">
        <v>115</v>
      </c>
      <c r="B990" s="141" t="s">
        <v>1046</v>
      </c>
      <c r="C990" s="141" t="s">
        <v>994</v>
      </c>
      <c r="D990" s="146" t="s">
        <v>898</v>
      </c>
      <c r="E990" s="141" t="s">
        <v>21</v>
      </c>
      <c r="F990" s="254">
        <f>F991</f>
        <v>30432</v>
      </c>
      <c r="G990" s="255">
        <f>G991</f>
        <v>30115.211940000001</v>
      </c>
      <c r="H990" s="131">
        <f t="shared" si="217"/>
        <v>98.959029771293388</v>
      </c>
    </row>
    <row r="991" spans="1:8 16320:16347" s="82" customFormat="1" ht="18.75" hidden="1" x14ac:dyDescent="0.2">
      <c r="A991" s="3" t="s">
        <v>74</v>
      </c>
      <c r="B991" s="2" t="s">
        <v>1046</v>
      </c>
      <c r="C991" s="2" t="s">
        <v>994</v>
      </c>
      <c r="D991" s="4" t="s">
        <v>898</v>
      </c>
      <c r="E991" s="2" t="s">
        <v>75</v>
      </c>
      <c r="F991" s="39">
        <f>0+29310+2791-1669</f>
        <v>30432</v>
      </c>
      <c r="G991" s="68">
        <v>30115.211940000001</v>
      </c>
      <c r="H991" s="97">
        <f t="shared" si="217"/>
        <v>98.959029771293388</v>
      </c>
    </row>
    <row r="992" spans="1:8 16320:16347" ht="18.75" x14ac:dyDescent="0.2">
      <c r="A992" s="140" t="s">
        <v>899</v>
      </c>
      <c r="B992" s="148" t="s">
        <v>1046</v>
      </c>
      <c r="C992" s="148" t="s">
        <v>994</v>
      </c>
      <c r="D992" s="148" t="s">
        <v>901</v>
      </c>
      <c r="E992" s="148"/>
      <c r="F992" s="168">
        <f>F993</f>
        <v>5774.4079999999994</v>
      </c>
      <c r="G992" s="168">
        <f t="shared" ref="G992:G998" si="230">G993</f>
        <v>5774.4072500000002</v>
      </c>
      <c r="H992" s="131">
        <f t="shared" si="217"/>
        <v>99.999987011655577</v>
      </c>
    </row>
    <row r="993" spans="1:8" ht="31.5" x14ac:dyDescent="0.2">
      <c r="A993" s="145" t="s">
        <v>18</v>
      </c>
      <c r="B993" s="141" t="s">
        <v>1046</v>
      </c>
      <c r="C993" s="141" t="s">
        <v>994</v>
      </c>
      <c r="D993" s="141" t="s">
        <v>901</v>
      </c>
      <c r="E993" s="219">
        <v>600</v>
      </c>
      <c r="F993" s="166">
        <f>F994</f>
        <v>5774.4079999999994</v>
      </c>
      <c r="G993" s="166">
        <f t="shared" si="230"/>
        <v>5774.4072500000002</v>
      </c>
      <c r="H993" s="131">
        <f t="shared" si="217"/>
        <v>99.999987011655577</v>
      </c>
    </row>
    <row r="994" spans="1:8" ht="18.75" x14ac:dyDescent="0.2">
      <c r="A994" s="145" t="s">
        <v>24</v>
      </c>
      <c r="B994" s="141" t="s">
        <v>1046</v>
      </c>
      <c r="C994" s="141" t="s">
        <v>994</v>
      </c>
      <c r="D994" s="141" t="s">
        <v>901</v>
      </c>
      <c r="E994" s="219">
        <v>610</v>
      </c>
      <c r="F994" s="166">
        <f>F995</f>
        <v>5774.4079999999994</v>
      </c>
      <c r="G994" s="166">
        <f t="shared" si="230"/>
        <v>5774.4072500000002</v>
      </c>
      <c r="H994" s="131">
        <f t="shared" si="217"/>
        <v>99.999987011655577</v>
      </c>
    </row>
    <row r="995" spans="1:8" s="82" customFormat="1" ht="18.75" hidden="1" x14ac:dyDescent="0.2">
      <c r="A995" s="3" t="s">
        <v>72</v>
      </c>
      <c r="B995" s="2" t="s">
        <v>1046</v>
      </c>
      <c r="C995" s="2" t="s">
        <v>994</v>
      </c>
      <c r="D995" s="2" t="s">
        <v>901</v>
      </c>
      <c r="E995" s="49">
        <v>612</v>
      </c>
      <c r="F995" s="36">
        <f>6630.81-99.462-756.94</f>
        <v>5774.4079999999994</v>
      </c>
      <c r="G995" s="36">
        <v>5774.4072500000002</v>
      </c>
      <c r="H995" s="97">
        <f t="shared" si="217"/>
        <v>99.999987011655577</v>
      </c>
    </row>
    <row r="996" spans="1:8" ht="18.75" x14ac:dyDescent="0.2">
      <c r="A996" s="140" t="s">
        <v>900</v>
      </c>
      <c r="B996" s="148" t="s">
        <v>1046</v>
      </c>
      <c r="C996" s="148" t="s">
        <v>994</v>
      </c>
      <c r="D996" s="148" t="s">
        <v>902</v>
      </c>
      <c r="E996" s="148"/>
      <c r="F996" s="168">
        <f>F997</f>
        <v>11223.255999999999</v>
      </c>
      <c r="G996" s="168">
        <f t="shared" si="230"/>
        <v>11223.255160000001</v>
      </c>
      <c r="H996" s="131">
        <f t="shared" si="217"/>
        <v>99.999992515540953</v>
      </c>
    </row>
    <row r="997" spans="1:8" ht="31.5" x14ac:dyDescent="0.2">
      <c r="A997" s="145" t="s">
        <v>18</v>
      </c>
      <c r="B997" s="141" t="s">
        <v>1046</v>
      </c>
      <c r="C997" s="141" t="s">
        <v>994</v>
      </c>
      <c r="D997" s="141" t="s">
        <v>902</v>
      </c>
      <c r="E997" s="219">
        <v>600</v>
      </c>
      <c r="F997" s="166">
        <f>F998</f>
        <v>11223.255999999999</v>
      </c>
      <c r="G997" s="166">
        <f t="shared" si="230"/>
        <v>11223.255160000001</v>
      </c>
      <c r="H997" s="131">
        <f t="shared" si="217"/>
        <v>99.999992515540953</v>
      </c>
    </row>
    <row r="998" spans="1:8" ht="18.75" x14ac:dyDescent="0.2">
      <c r="A998" s="145" t="s">
        <v>24</v>
      </c>
      <c r="B998" s="141" t="s">
        <v>1046</v>
      </c>
      <c r="C998" s="141" t="s">
        <v>994</v>
      </c>
      <c r="D998" s="141" t="s">
        <v>902</v>
      </c>
      <c r="E998" s="219">
        <v>610</v>
      </c>
      <c r="F998" s="166">
        <f>F999</f>
        <v>11223.255999999999</v>
      </c>
      <c r="G998" s="166">
        <f t="shared" si="230"/>
        <v>11223.255160000001</v>
      </c>
      <c r="H998" s="131">
        <f t="shared" si="217"/>
        <v>99.999992515540953</v>
      </c>
    </row>
    <row r="999" spans="1:8" s="82" customFormat="1" ht="18.75" hidden="1" x14ac:dyDescent="0.2">
      <c r="A999" s="3" t="s">
        <v>72</v>
      </c>
      <c r="B999" s="2" t="s">
        <v>1046</v>
      </c>
      <c r="C999" s="2" t="s">
        <v>994</v>
      </c>
      <c r="D999" s="2" t="s">
        <v>902</v>
      </c>
      <c r="E999" s="49">
        <v>612</v>
      </c>
      <c r="F999" s="36">
        <f>11389-165.744</f>
        <v>11223.255999999999</v>
      </c>
      <c r="G999" s="36">
        <v>11223.255160000001</v>
      </c>
      <c r="H999" s="97">
        <f t="shared" si="217"/>
        <v>99.999992515540953</v>
      </c>
    </row>
    <row r="1000" spans="1:8" ht="18.75" x14ac:dyDescent="0.2">
      <c r="A1000" s="140" t="s">
        <v>932</v>
      </c>
      <c r="B1000" s="148" t="s">
        <v>1046</v>
      </c>
      <c r="C1000" s="148" t="s">
        <v>994</v>
      </c>
      <c r="D1000" s="148" t="s">
        <v>934</v>
      </c>
      <c r="E1000" s="218"/>
      <c r="F1000" s="168">
        <f t="shared" ref="F1000:G1002" si="231">F1001</f>
        <v>17262.645</v>
      </c>
      <c r="G1000" s="168">
        <f t="shared" si="231"/>
        <v>2645.8659400000001</v>
      </c>
      <c r="H1000" s="131">
        <f t="shared" si="217"/>
        <v>15.327117831595332</v>
      </c>
    </row>
    <row r="1001" spans="1:8" ht="31.5" x14ac:dyDescent="0.2">
      <c r="A1001" s="145" t="s">
        <v>18</v>
      </c>
      <c r="B1001" s="141" t="s">
        <v>1046</v>
      </c>
      <c r="C1001" s="141" t="s">
        <v>994</v>
      </c>
      <c r="D1001" s="141" t="s">
        <v>934</v>
      </c>
      <c r="E1001" s="219">
        <v>600</v>
      </c>
      <c r="F1001" s="166">
        <f t="shared" si="231"/>
        <v>17262.645</v>
      </c>
      <c r="G1001" s="166">
        <f t="shared" si="231"/>
        <v>2645.8659400000001</v>
      </c>
      <c r="H1001" s="131">
        <f t="shared" si="217"/>
        <v>15.327117831595332</v>
      </c>
    </row>
    <row r="1002" spans="1:8" ht="18.75" x14ac:dyDescent="0.2">
      <c r="A1002" s="145" t="s">
        <v>24</v>
      </c>
      <c r="B1002" s="141" t="s">
        <v>1046</v>
      </c>
      <c r="C1002" s="141" t="s">
        <v>994</v>
      </c>
      <c r="D1002" s="141" t="s">
        <v>934</v>
      </c>
      <c r="E1002" s="219">
        <v>610</v>
      </c>
      <c r="F1002" s="166">
        <f t="shared" si="231"/>
        <v>17262.645</v>
      </c>
      <c r="G1002" s="166">
        <f t="shared" si="231"/>
        <v>2645.8659400000001</v>
      </c>
      <c r="H1002" s="131">
        <f t="shared" si="217"/>
        <v>15.327117831595332</v>
      </c>
    </row>
    <row r="1003" spans="1:8" s="82" customFormat="1" ht="18.75" hidden="1" x14ac:dyDescent="0.2">
      <c r="A1003" s="3" t="s">
        <v>72</v>
      </c>
      <c r="B1003" s="2" t="s">
        <v>1046</v>
      </c>
      <c r="C1003" s="2" t="s">
        <v>994</v>
      </c>
      <c r="D1003" s="2" t="s">
        <v>934</v>
      </c>
      <c r="E1003" s="49">
        <v>612</v>
      </c>
      <c r="F1003" s="36">
        <f>23023-5760.355</f>
        <v>17262.645</v>
      </c>
      <c r="G1003" s="36">
        <v>2645.8659400000001</v>
      </c>
      <c r="H1003" s="97">
        <f t="shared" si="217"/>
        <v>15.327117831595332</v>
      </c>
    </row>
    <row r="1004" spans="1:8" ht="18.75" x14ac:dyDescent="0.2">
      <c r="A1004" s="140" t="s">
        <v>933</v>
      </c>
      <c r="B1004" s="148" t="s">
        <v>1046</v>
      </c>
      <c r="C1004" s="148" t="s">
        <v>994</v>
      </c>
      <c r="D1004" s="148" t="s">
        <v>935</v>
      </c>
      <c r="E1004" s="218"/>
      <c r="F1004" s="168">
        <f t="shared" ref="F1004:G1006" si="232">F1005</f>
        <v>966.84199999999998</v>
      </c>
      <c r="G1004" s="168">
        <f t="shared" si="232"/>
        <v>966.67106999999999</v>
      </c>
      <c r="H1004" s="131">
        <f t="shared" si="217"/>
        <v>99.982320792849293</v>
      </c>
    </row>
    <row r="1005" spans="1:8" ht="31.5" x14ac:dyDescent="0.2">
      <c r="A1005" s="145" t="s">
        <v>18</v>
      </c>
      <c r="B1005" s="141" t="s">
        <v>1046</v>
      </c>
      <c r="C1005" s="141" t="s">
        <v>994</v>
      </c>
      <c r="D1005" s="141" t="s">
        <v>935</v>
      </c>
      <c r="E1005" s="219">
        <v>600</v>
      </c>
      <c r="F1005" s="166">
        <f t="shared" si="232"/>
        <v>966.84199999999998</v>
      </c>
      <c r="G1005" s="166">
        <f t="shared" si="232"/>
        <v>966.67106999999999</v>
      </c>
      <c r="H1005" s="131">
        <f t="shared" si="217"/>
        <v>99.982320792849293</v>
      </c>
    </row>
    <row r="1006" spans="1:8" ht="18.75" x14ac:dyDescent="0.2">
      <c r="A1006" s="145" t="s">
        <v>24</v>
      </c>
      <c r="B1006" s="141" t="s">
        <v>1046</v>
      </c>
      <c r="C1006" s="141" t="s">
        <v>994</v>
      </c>
      <c r="D1006" s="141" t="s">
        <v>935</v>
      </c>
      <c r="E1006" s="219">
        <v>610</v>
      </c>
      <c r="F1006" s="166">
        <f t="shared" si="232"/>
        <v>966.84199999999998</v>
      </c>
      <c r="G1006" s="166">
        <f t="shared" si="232"/>
        <v>966.67106999999999</v>
      </c>
      <c r="H1006" s="131">
        <f t="shared" si="217"/>
        <v>99.982320792849293</v>
      </c>
    </row>
    <row r="1007" spans="1:8" s="82" customFormat="1" ht="18.75" hidden="1" x14ac:dyDescent="0.2">
      <c r="A1007" s="3" t="s">
        <v>72</v>
      </c>
      <c r="B1007" s="2" t="s">
        <v>1046</v>
      </c>
      <c r="C1007" s="2" t="s">
        <v>994</v>
      </c>
      <c r="D1007" s="2" t="s">
        <v>935</v>
      </c>
      <c r="E1007" s="49">
        <v>612</v>
      </c>
      <c r="F1007" s="36">
        <f>427.302+539.54</f>
        <v>966.84199999999998</v>
      </c>
      <c r="G1007" s="36">
        <v>966.67106999999999</v>
      </c>
      <c r="H1007" s="97">
        <f t="shared" si="217"/>
        <v>99.982320792849293</v>
      </c>
    </row>
    <row r="1008" spans="1:8" ht="18.75" x14ac:dyDescent="0.2">
      <c r="A1008" s="140" t="s">
        <v>959</v>
      </c>
      <c r="B1008" s="148" t="s">
        <v>1046</v>
      </c>
      <c r="C1008" s="148" t="s">
        <v>994</v>
      </c>
      <c r="D1008" s="148" t="s">
        <v>952</v>
      </c>
      <c r="E1008" s="218"/>
      <c r="F1008" s="168">
        <f>F1009</f>
        <v>1000</v>
      </c>
      <c r="G1008" s="168">
        <f t="shared" ref="G1008:G1010" si="233">G1009</f>
        <v>995.49459999999999</v>
      </c>
      <c r="H1008" s="131">
        <f t="shared" si="217"/>
        <v>99.549459999999996</v>
      </c>
    </row>
    <row r="1009" spans="1:11" ht="18.75" x14ac:dyDescent="0.2">
      <c r="A1009" s="145" t="s">
        <v>871</v>
      </c>
      <c r="B1009" s="141" t="s">
        <v>1046</v>
      </c>
      <c r="C1009" s="141" t="s">
        <v>994</v>
      </c>
      <c r="D1009" s="141" t="s">
        <v>952</v>
      </c>
      <c r="E1009" s="219">
        <v>200</v>
      </c>
      <c r="F1009" s="166">
        <f>F1010</f>
        <v>1000</v>
      </c>
      <c r="G1009" s="166">
        <f t="shared" si="233"/>
        <v>995.49459999999999</v>
      </c>
      <c r="H1009" s="131">
        <f t="shared" ref="H1009:H1052" si="234">G1009/F1009*100</f>
        <v>99.549459999999996</v>
      </c>
    </row>
    <row r="1010" spans="1:11" ht="31.5" x14ac:dyDescent="0.2">
      <c r="A1010" s="145" t="s">
        <v>17</v>
      </c>
      <c r="B1010" s="141" t="s">
        <v>1046</v>
      </c>
      <c r="C1010" s="141" t="s">
        <v>994</v>
      </c>
      <c r="D1010" s="141" t="s">
        <v>952</v>
      </c>
      <c r="E1010" s="219">
        <v>240</v>
      </c>
      <c r="F1010" s="166">
        <f>F1011</f>
        <v>1000</v>
      </c>
      <c r="G1010" s="166">
        <f t="shared" si="233"/>
        <v>995.49459999999999</v>
      </c>
      <c r="H1010" s="131">
        <f t="shared" si="234"/>
        <v>99.549459999999996</v>
      </c>
    </row>
    <row r="1011" spans="1:11" s="82" customFormat="1" ht="18.75" hidden="1" x14ac:dyDescent="0.2">
      <c r="A1011" s="3" t="s">
        <v>548</v>
      </c>
      <c r="B1011" s="2" t="s">
        <v>1046</v>
      </c>
      <c r="C1011" s="2" t="s">
        <v>994</v>
      </c>
      <c r="D1011" s="2" t="s">
        <v>952</v>
      </c>
      <c r="E1011" s="49">
        <v>244</v>
      </c>
      <c r="F1011" s="36">
        <v>1000</v>
      </c>
      <c r="G1011" s="36">
        <v>995.49459999999999</v>
      </c>
      <c r="H1011" s="97">
        <f t="shared" si="234"/>
        <v>99.549459999999996</v>
      </c>
    </row>
    <row r="1012" spans="1:11" ht="18.75" x14ac:dyDescent="0.2">
      <c r="A1012" s="140" t="s">
        <v>591</v>
      </c>
      <c r="B1012" s="141" t="s">
        <v>1046</v>
      </c>
      <c r="C1012" s="141" t="s">
        <v>994</v>
      </c>
      <c r="D1012" s="148" t="s">
        <v>726</v>
      </c>
      <c r="E1012" s="171"/>
      <c r="F1012" s="183">
        <f>F1013</f>
        <v>2329</v>
      </c>
      <c r="G1012" s="183">
        <f t="shared" ref="G1012:G1014" si="235">G1013</f>
        <v>2321.1867999999999</v>
      </c>
      <c r="H1012" s="131">
        <f t="shared" si="234"/>
        <v>99.664525547445251</v>
      </c>
    </row>
    <row r="1013" spans="1:11" ht="18.75" x14ac:dyDescent="0.2">
      <c r="A1013" s="145" t="s">
        <v>871</v>
      </c>
      <c r="B1013" s="141" t="s">
        <v>1046</v>
      </c>
      <c r="C1013" s="141" t="s">
        <v>994</v>
      </c>
      <c r="D1013" s="141" t="s">
        <v>726</v>
      </c>
      <c r="E1013" s="141" t="s">
        <v>15</v>
      </c>
      <c r="F1013" s="160">
        <f>F1014</f>
        <v>2329</v>
      </c>
      <c r="G1013" s="160">
        <f t="shared" si="235"/>
        <v>2321.1867999999999</v>
      </c>
      <c r="H1013" s="131">
        <f t="shared" si="234"/>
        <v>99.664525547445251</v>
      </c>
    </row>
    <row r="1014" spans="1:11" ht="31.5" x14ac:dyDescent="0.2">
      <c r="A1014" s="145" t="s">
        <v>17</v>
      </c>
      <c r="B1014" s="141" t="s">
        <v>1046</v>
      </c>
      <c r="C1014" s="141" t="s">
        <v>994</v>
      </c>
      <c r="D1014" s="141" t="s">
        <v>726</v>
      </c>
      <c r="E1014" s="141" t="s">
        <v>16</v>
      </c>
      <c r="F1014" s="160">
        <f>F1015</f>
        <v>2329</v>
      </c>
      <c r="G1014" s="160">
        <f t="shared" si="235"/>
        <v>2321.1867999999999</v>
      </c>
      <c r="H1014" s="131">
        <f t="shared" si="234"/>
        <v>99.664525547445251</v>
      </c>
    </row>
    <row r="1015" spans="1:11" s="82" customFormat="1" ht="18.75" hidden="1" x14ac:dyDescent="0.2">
      <c r="A1015" s="3" t="s">
        <v>548</v>
      </c>
      <c r="B1015" s="2" t="s">
        <v>1046</v>
      </c>
      <c r="C1015" s="2" t="s">
        <v>994</v>
      </c>
      <c r="D1015" s="2" t="s">
        <v>726</v>
      </c>
      <c r="E1015" s="2" t="s">
        <v>67</v>
      </c>
      <c r="F1015" s="62">
        <f>1126+1278-75</f>
        <v>2329</v>
      </c>
      <c r="G1015" s="62">
        <v>2321.1867999999999</v>
      </c>
      <c r="H1015" s="97">
        <f t="shared" si="234"/>
        <v>99.664525547445251</v>
      </c>
    </row>
    <row r="1016" spans="1:11" ht="31.5" x14ac:dyDescent="0.2">
      <c r="A1016" s="132" t="s">
        <v>590</v>
      </c>
      <c r="B1016" s="133" t="s">
        <v>1046</v>
      </c>
      <c r="C1016" s="133" t="s">
        <v>994</v>
      </c>
      <c r="D1016" s="133" t="s">
        <v>728</v>
      </c>
      <c r="E1016" s="133"/>
      <c r="F1016" s="203">
        <f>F1017+F1021+F1025+F1029+F1033+F1037+F1044</f>
        <v>177655.45970000001</v>
      </c>
      <c r="G1016" s="203">
        <f t="shared" ref="G1016" si="236">G1017+G1021+G1025+G1029+G1033+G1037+G1044</f>
        <v>170446.50208999997</v>
      </c>
      <c r="H1016" s="131">
        <f t="shared" si="234"/>
        <v>95.942169397904493</v>
      </c>
      <c r="K1016" s="96">
        <f>170446.50209-G1016</f>
        <v>0</v>
      </c>
    </row>
    <row r="1017" spans="1:11" ht="18.75" x14ac:dyDescent="0.25">
      <c r="A1017" s="187" t="s">
        <v>606</v>
      </c>
      <c r="B1017" s="148" t="s">
        <v>1046</v>
      </c>
      <c r="C1017" s="148" t="s">
        <v>994</v>
      </c>
      <c r="D1017" s="148" t="s">
        <v>729</v>
      </c>
      <c r="E1017" s="133"/>
      <c r="F1017" s="256">
        <f>F1018</f>
        <v>5092.2749400000002</v>
      </c>
      <c r="G1017" s="256">
        <f>G1018</f>
        <v>4892.2749400000002</v>
      </c>
      <c r="H1017" s="131">
        <f t="shared" si="234"/>
        <v>96.07248229216782</v>
      </c>
    </row>
    <row r="1018" spans="1:11" ht="31.5" x14ac:dyDescent="0.2">
      <c r="A1018" s="145" t="s">
        <v>432</v>
      </c>
      <c r="B1018" s="141" t="s">
        <v>1046</v>
      </c>
      <c r="C1018" s="141" t="s">
        <v>994</v>
      </c>
      <c r="D1018" s="141" t="s">
        <v>729</v>
      </c>
      <c r="E1018" s="219">
        <v>200</v>
      </c>
      <c r="F1018" s="254">
        <f>F1019</f>
        <v>5092.2749400000002</v>
      </c>
      <c r="G1018" s="254">
        <f t="shared" ref="G1018:G1019" si="237">G1019</f>
        <v>4892.2749400000002</v>
      </c>
      <c r="H1018" s="131">
        <f t="shared" si="234"/>
        <v>96.07248229216782</v>
      </c>
    </row>
    <row r="1019" spans="1:11" ht="31.5" x14ac:dyDescent="0.2">
      <c r="A1019" s="145" t="s">
        <v>17</v>
      </c>
      <c r="B1019" s="141" t="s">
        <v>1046</v>
      </c>
      <c r="C1019" s="141" t="s">
        <v>994</v>
      </c>
      <c r="D1019" s="141" t="s">
        <v>729</v>
      </c>
      <c r="E1019" s="219">
        <v>240</v>
      </c>
      <c r="F1019" s="254">
        <f>F1020</f>
        <v>5092.2749400000002</v>
      </c>
      <c r="G1019" s="254">
        <f t="shared" si="237"/>
        <v>4892.2749400000002</v>
      </c>
      <c r="H1019" s="131">
        <f t="shared" si="234"/>
        <v>96.07248229216782</v>
      </c>
    </row>
    <row r="1020" spans="1:11" s="82" customFormat="1" ht="18.75" hidden="1" x14ac:dyDescent="0.2">
      <c r="A1020" s="3" t="s">
        <v>548</v>
      </c>
      <c r="B1020" s="2" t="s">
        <v>1046</v>
      </c>
      <c r="C1020" s="2" t="s">
        <v>994</v>
      </c>
      <c r="D1020" s="2" t="s">
        <v>729</v>
      </c>
      <c r="E1020" s="49">
        <v>244</v>
      </c>
      <c r="F1020" s="39">
        <f>4892.27494+200</f>
        <v>5092.2749400000002</v>
      </c>
      <c r="G1020" s="39">
        <v>4892.2749400000002</v>
      </c>
      <c r="H1020" s="97">
        <f t="shared" si="234"/>
        <v>96.07248229216782</v>
      </c>
    </row>
    <row r="1021" spans="1:11" ht="18.75" x14ac:dyDescent="0.2">
      <c r="A1021" s="155" t="s">
        <v>462</v>
      </c>
      <c r="B1021" s="148" t="s">
        <v>1046</v>
      </c>
      <c r="C1021" s="148" t="s">
        <v>994</v>
      </c>
      <c r="D1021" s="148" t="s">
        <v>730</v>
      </c>
      <c r="E1021" s="171"/>
      <c r="F1021" s="183">
        <f t="shared" ref="F1021:G1035" si="238">F1022</f>
        <v>5106.3969399999996</v>
      </c>
      <c r="G1021" s="183">
        <f t="shared" si="238"/>
        <v>5106.3969399999996</v>
      </c>
      <c r="H1021" s="131">
        <f t="shared" si="234"/>
        <v>100</v>
      </c>
    </row>
    <row r="1022" spans="1:11" ht="18.75" x14ac:dyDescent="0.2">
      <c r="A1022" s="145" t="s">
        <v>871</v>
      </c>
      <c r="B1022" s="141" t="s">
        <v>1046</v>
      </c>
      <c r="C1022" s="141" t="s">
        <v>994</v>
      </c>
      <c r="D1022" s="141" t="s">
        <v>730</v>
      </c>
      <c r="E1022" s="219">
        <v>200</v>
      </c>
      <c r="F1022" s="160">
        <f t="shared" si="238"/>
        <v>5106.3969399999996</v>
      </c>
      <c r="G1022" s="160">
        <f t="shared" si="238"/>
        <v>5106.3969399999996</v>
      </c>
      <c r="H1022" s="131">
        <f t="shared" si="234"/>
        <v>100</v>
      </c>
    </row>
    <row r="1023" spans="1:11" ht="31.5" x14ac:dyDescent="0.2">
      <c r="A1023" s="145" t="s">
        <v>17</v>
      </c>
      <c r="B1023" s="141" t="s">
        <v>1046</v>
      </c>
      <c r="C1023" s="141" t="s">
        <v>994</v>
      </c>
      <c r="D1023" s="141" t="s">
        <v>730</v>
      </c>
      <c r="E1023" s="219">
        <v>240</v>
      </c>
      <c r="F1023" s="160">
        <f t="shared" si="238"/>
        <v>5106.3969399999996</v>
      </c>
      <c r="G1023" s="160">
        <f t="shared" si="238"/>
        <v>5106.3969399999996</v>
      </c>
      <c r="H1023" s="131">
        <f t="shared" si="234"/>
        <v>100</v>
      </c>
    </row>
    <row r="1024" spans="1:11" s="82" customFormat="1" ht="18.75" hidden="1" x14ac:dyDescent="0.2">
      <c r="A1024" s="3" t="s">
        <v>548</v>
      </c>
      <c r="B1024" s="2" t="s">
        <v>1046</v>
      </c>
      <c r="C1024" s="2" t="s">
        <v>994</v>
      </c>
      <c r="D1024" s="2" t="s">
        <v>730</v>
      </c>
      <c r="E1024" s="49">
        <v>244</v>
      </c>
      <c r="F1024" s="62">
        <f>32000-9430-15000-400-200-1520-343.60306</f>
        <v>5106.3969399999996</v>
      </c>
      <c r="G1024" s="62">
        <v>5106.3969399999996</v>
      </c>
      <c r="H1024" s="97">
        <f t="shared" si="234"/>
        <v>100</v>
      </c>
    </row>
    <row r="1025" spans="1:8" ht="18.75" x14ac:dyDescent="0.2">
      <c r="A1025" s="155" t="s">
        <v>464</v>
      </c>
      <c r="B1025" s="148" t="s">
        <v>1046</v>
      </c>
      <c r="C1025" s="148" t="s">
        <v>994</v>
      </c>
      <c r="D1025" s="148" t="s">
        <v>731</v>
      </c>
      <c r="E1025" s="141"/>
      <c r="F1025" s="183">
        <f>F1026</f>
        <v>88895</v>
      </c>
      <c r="G1025" s="183">
        <f>G1026</f>
        <v>82925.265629999994</v>
      </c>
      <c r="H1025" s="131">
        <f t="shared" si="234"/>
        <v>93.284510523651505</v>
      </c>
    </row>
    <row r="1026" spans="1:8" ht="18.75" x14ac:dyDescent="0.2">
      <c r="A1026" s="145" t="s">
        <v>871</v>
      </c>
      <c r="B1026" s="141" t="s">
        <v>1046</v>
      </c>
      <c r="C1026" s="141" t="s">
        <v>994</v>
      </c>
      <c r="D1026" s="141" t="s">
        <v>731</v>
      </c>
      <c r="E1026" s="219">
        <v>200</v>
      </c>
      <c r="F1026" s="160">
        <f t="shared" si="238"/>
        <v>88895</v>
      </c>
      <c r="G1026" s="160">
        <f t="shared" si="238"/>
        <v>82925.265629999994</v>
      </c>
      <c r="H1026" s="131">
        <f t="shared" si="234"/>
        <v>93.284510523651505</v>
      </c>
    </row>
    <row r="1027" spans="1:8" ht="31.5" x14ac:dyDescent="0.2">
      <c r="A1027" s="145" t="s">
        <v>17</v>
      </c>
      <c r="B1027" s="141" t="s">
        <v>1046</v>
      </c>
      <c r="C1027" s="141" t="s">
        <v>994</v>
      </c>
      <c r="D1027" s="141" t="s">
        <v>731</v>
      </c>
      <c r="E1027" s="219">
        <v>240</v>
      </c>
      <c r="F1027" s="160">
        <f t="shared" si="238"/>
        <v>88895</v>
      </c>
      <c r="G1027" s="160">
        <f t="shared" si="238"/>
        <v>82925.265629999994</v>
      </c>
      <c r="H1027" s="131">
        <f t="shared" si="234"/>
        <v>93.284510523651505</v>
      </c>
    </row>
    <row r="1028" spans="1:8" s="82" customFormat="1" ht="18.75" hidden="1" x14ac:dyDescent="0.2">
      <c r="A1028" s="3" t="s">
        <v>548</v>
      </c>
      <c r="B1028" s="2" t="s">
        <v>1046</v>
      </c>
      <c r="C1028" s="2" t="s">
        <v>994</v>
      </c>
      <c r="D1028" s="2" t="s">
        <v>731</v>
      </c>
      <c r="E1028" s="49">
        <v>244</v>
      </c>
      <c r="F1028" s="62">
        <f>94973-3708-535-402-314-1249+535+402+312+3500-4000+800+200-1619</f>
        <v>88895</v>
      </c>
      <c r="G1028" s="62">
        <v>82925.265629999994</v>
      </c>
      <c r="H1028" s="97">
        <f t="shared" si="234"/>
        <v>93.284510523651505</v>
      </c>
    </row>
    <row r="1029" spans="1:8" ht="18.75" x14ac:dyDescent="0.2">
      <c r="A1029" s="155" t="s">
        <v>465</v>
      </c>
      <c r="B1029" s="148" t="s">
        <v>1046</v>
      </c>
      <c r="C1029" s="148" t="s">
        <v>994</v>
      </c>
      <c r="D1029" s="148" t="s">
        <v>732</v>
      </c>
      <c r="E1029" s="141"/>
      <c r="F1029" s="183">
        <f>F1030</f>
        <v>57006.666660000003</v>
      </c>
      <c r="G1029" s="183">
        <f>G1030</f>
        <v>56899.666649999999</v>
      </c>
      <c r="H1029" s="131">
        <f t="shared" si="234"/>
        <v>99.812302637096508</v>
      </c>
    </row>
    <row r="1030" spans="1:8" ht="18.75" x14ac:dyDescent="0.2">
      <c r="A1030" s="145" t="s">
        <v>871</v>
      </c>
      <c r="B1030" s="141" t="s">
        <v>1046</v>
      </c>
      <c r="C1030" s="141" t="s">
        <v>994</v>
      </c>
      <c r="D1030" s="141" t="s">
        <v>732</v>
      </c>
      <c r="E1030" s="219">
        <v>200</v>
      </c>
      <c r="F1030" s="160">
        <f t="shared" si="238"/>
        <v>57006.666660000003</v>
      </c>
      <c r="G1030" s="160">
        <f t="shared" si="238"/>
        <v>56899.666649999999</v>
      </c>
      <c r="H1030" s="131">
        <f t="shared" si="234"/>
        <v>99.812302637096508</v>
      </c>
    </row>
    <row r="1031" spans="1:8" ht="31.5" x14ac:dyDescent="0.2">
      <c r="A1031" s="145" t="s">
        <v>17</v>
      </c>
      <c r="B1031" s="141" t="s">
        <v>1046</v>
      </c>
      <c r="C1031" s="141" t="s">
        <v>994</v>
      </c>
      <c r="D1031" s="141" t="s">
        <v>732</v>
      </c>
      <c r="E1031" s="219">
        <v>240</v>
      </c>
      <c r="F1031" s="160">
        <f t="shared" si="238"/>
        <v>57006.666660000003</v>
      </c>
      <c r="G1031" s="160">
        <f t="shared" si="238"/>
        <v>56899.666649999999</v>
      </c>
      <c r="H1031" s="131">
        <f t="shared" si="234"/>
        <v>99.812302637096508</v>
      </c>
    </row>
    <row r="1032" spans="1:8" s="82" customFormat="1" ht="18.75" hidden="1" x14ac:dyDescent="0.2">
      <c r="A1032" s="3" t="s">
        <v>548</v>
      </c>
      <c r="B1032" s="2" t="s">
        <v>1046</v>
      </c>
      <c r="C1032" s="2" t="s">
        <v>994</v>
      </c>
      <c r="D1032" s="2" t="s">
        <v>732</v>
      </c>
      <c r="E1032" s="49">
        <v>244</v>
      </c>
      <c r="F1032" s="62">
        <f>62298-5290-1.33334</f>
        <v>57006.666660000003</v>
      </c>
      <c r="G1032" s="62">
        <v>56899.666649999999</v>
      </c>
      <c r="H1032" s="97">
        <f t="shared" si="234"/>
        <v>99.812302637096508</v>
      </c>
    </row>
    <row r="1033" spans="1:8" ht="18.75" x14ac:dyDescent="0.2">
      <c r="A1033" s="155" t="s">
        <v>466</v>
      </c>
      <c r="B1033" s="148" t="s">
        <v>1046</v>
      </c>
      <c r="C1033" s="148" t="s">
        <v>994</v>
      </c>
      <c r="D1033" s="148" t="s">
        <v>733</v>
      </c>
      <c r="E1033" s="219"/>
      <c r="F1033" s="183">
        <f t="shared" si="238"/>
        <v>753</v>
      </c>
      <c r="G1033" s="183">
        <f t="shared" si="238"/>
        <v>539.78576999999996</v>
      </c>
      <c r="H1033" s="131">
        <f t="shared" si="234"/>
        <v>71.684697211155367</v>
      </c>
    </row>
    <row r="1034" spans="1:8" ht="18.75" x14ac:dyDescent="0.2">
      <c r="A1034" s="145" t="s">
        <v>871</v>
      </c>
      <c r="B1034" s="141" t="s">
        <v>1046</v>
      </c>
      <c r="C1034" s="141" t="s">
        <v>994</v>
      </c>
      <c r="D1034" s="141" t="s">
        <v>733</v>
      </c>
      <c r="E1034" s="219">
        <v>200</v>
      </c>
      <c r="F1034" s="160">
        <f t="shared" si="238"/>
        <v>753</v>
      </c>
      <c r="G1034" s="160">
        <f t="shared" si="238"/>
        <v>539.78576999999996</v>
      </c>
      <c r="H1034" s="131">
        <f t="shared" si="234"/>
        <v>71.684697211155367</v>
      </c>
    </row>
    <row r="1035" spans="1:8" ht="31.5" x14ac:dyDescent="0.2">
      <c r="A1035" s="145" t="s">
        <v>17</v>
      </c>
      <c r="B1035" s="141" t="s">
        <v>1046</v>
      </c>
      <c r="C1035" s="141" t="s">
        <v>994</v>
      </c>
      <c r="D1035" s="141" t="s">
        <v>733</v>
      </c>
      <c r="E1035" s="219">
        <v>240</v>
      </c>
      <c r="F1035" s="160">
        <f t="shared" si="238"/>
        <v>753</v>
      </c>
      <c r="G1035" s="160">
        <f t="shared" si="238"/>
        <v>539.78576999999996</v>
      </c>
      <c r="H1035" s="131">
        <f t="shared" si="234"/>
        <v>71.684697211155367</v>
      </c>
    </row>
    <row r="1036" spans="1:8" s="82" customFormat="1" ht="18.75" hidden="1" x14ac:dyDescent="0.2">
      <c r="A1036" s="3" t="s">
        <v>548</v>
      </c>
      <c r="B1036" s="2" t="s">
        <v>1046</v>
      </c>
      <c r="C1036" s="2" t="s">
        <v>994</v>
      </c>
      <c r="D1036" s="2" t="s">
        <v>733</v>
      </c>
      <c r="E1036" s="49">
        <v>244</v>
      </c>
      <c r="F1036" s="62">
        <f>500+300-47</f>
        <v>753</v>
      </c>
      <c r="G1036" s="62">
        <v>539.78576999999996</v>
      </c>
      <c r="H1036" s="97">
        <f t="shared" si="234"/>
        <v>71.684697211155367</v>
      </c>
    </row>
    <row r="1037" spans="1:8" ht="18.75" x14ac:dyDescent="0.25">
      <c r="A1037" s="187" t="s">
        <v>1118</v>
      </c>
      <c r="B1037" s="148" t="s">
        <v>1046</v>
      </c>
      <c r="C1037" s="148" t="s">
        <v>994</v>
      </c>
      <c r="D1037" s="148" t="s">
        <v>1119</v>
      </c>
      <c r="E1037" s="219"/>
      <c r="F1037" s="235">
        <f>F1038+F1041</f>
        <v>9191.7000000000007</v>
      </c>
      <c r="G1037" s="235">
        <f>G1038+G1041</f>
        <v>8472.6909999999989</v>
      </c>
      <c r="H1037" s="131">
        <f t="shared" si="234"/>
        <v>92.177627642329469</v>
      </c>
    </row>
    <row r="1038" spans="1:8" ht="31.5" x14ac:dyDescent="0.2">
      <c r="A1038" s="145" t="s">
        <v>432</v>
      </c>
      <c r="B1038" s="141" t="s">
        <v>1046</v>
      </c>
      <c r="C1038" s="141" t="s">
        <v>994</v>
      </c>
      <c r="D1038" s="141" t="s">
        <v>1119</v>
      </c>
      <c r="E1038" s="219">
        <v>200</v>
      </c>
      <c r="F1038" s="237">
        <f t="shared" ref="F1038:G1039" si="239">F1039</f>
        <v>4492</v>
      </c>
      <c r="G1038" s="238">
        <f t="shared" si="239"/>
        <v>4094.9858199999999</v>
      </c>
      <c r="H1038" s="131">
        <f t="shared" si="234"/>
        <v>91.161750222617982</v>
      </c>
    </row>
    <row r="1039" spans="1:8" ht="31.5" x14ac:dyDescent="0.25">
      <c r="A1039" s="165" t="s">
        <v>17</v>
      </c>
      <c r="B1039" s="141" t="s">
        <v>1046</v>
      </c>
      <c r="C1039" s="141" t="s">
        <v>994</v>
      </c>
      <c r="D1039" s="141" t="s">
        <v>1119</v>
      </c>
      <c r="E1039" s="219">
        <v>240</v>
      </c>
      <c r="F1039" s="237">
        <f t="shared" si="239"/>
        <v>4492</v>
      </c>
      <c r="G1039" s="238">
        <f t="shared" si="239"/>
        <v>4094.9858199999999</v>
      </c>
      <c r="H1039" s="131">
        <f t="shared" si="234"/>
        <v>91.161750222617982</v>
      </c>
    </row>
    <row r="1040" spans="1:8" s="82" customFormat="1" ht="18.75" hidden="1" x14ac:dyDescent="0.25">
      <c r="A1040" s="8" t="s">
        <v>548</v>
      </c>
      <c r="B1040" s="2" t="s">
        <v>1046</v>
      </c>
      <c r="C1040" s="2" t="s">
        <v>994</v>
      </c>
      <c r="D1040" s="2" t="s">
        <v>1119</v>
      </c>
      <c r="E1040" s="49">
        <v>244</v>
      </c>
      <c r="F1040" s="25">
        <f>0+4000+100+200-200+392</f>
        <v>4492</v>
      </c>
      <c r="G1040" s="67">
        <v>4094.9858199999999</v>
      </c>
      <c r="H1040" s="97">
        <f t="shared" si="234"/>
        <v>91.161750222617982</v>
      </c>
    </row>
    <row r="1041" spans="1:11" ht="31.5" x14ac:dyDescent="0.25">
      <c r="A1041" s="165" t="s">
        <v>493</v>
      </c>
      <c r="B1041" s="141" t="s">
        <v>1046</v>
      </c>
      <c r="C1041" s="141" t="s">
        <v>994</v>
      </c>
      <c r="D1041" s="141" t="s">
        <v>1119</v>
      </c>
      <c r="E1041" s="141" t="s">
        <v>34</v>
      </c>
      <c r="F1041" s="237">
        <f t="shared" ref="F1041:G1042" si="240">F1042</f>
        <v>4699.7</v>
      </c>
      <c r="G1041" s="238">
        <f t="shared" si="240"/>
        <v>4377.7051799999999</v>
      </c>
      <c r="H1041" s="131">
        <f t="shared" si="234"/>
        <v>93.148609060152779</v>
      </c>
    </row>
    <row r="1042" spans="1:11" ht="18.75" x14ac:dyDescent="0.25">
      <c r="A1042" s="165" t="s">
        <v>33</v>
      </c>
      <c r="B1042" s="141" t="s">
        <v>1046</v>
      </c>
      <c r="C1042" s="141" t="s">
        <v>994</v>
      </c>
      <c r="D1042" s="141" t="s">
        <v>1119</v>
      </c>
      <c r="E1042" s="141">
        <v>410</v>
      </c>
      <c r="F1042" s="237">
        <f t="shared" si="240"/>
        <v>4699.7</v>
      </c>
      <c r="G1042" s="238">
        <f t="shared" si="240"/>
        <v>4377.7051799999999</v>
      </c>
      <c r="H1042" s="131">
        <f t="shared" si="234"/>
        <v>93.148609060152779</v>
      </c>
    </row>
    <row r="1043" spans="1:11" s="82" customFormat="1" ht="31.5" hidden="1" x14ac:dyDescent="0.25">
      <c r="A1043" s="8" t="s">
        <v>84</v>
      </c>
      <c r="B1043" s="2" t="s">
        <v>1046</v>
      </c>
      <c r="C1043" s="2" t="s">
        <v>994</v>
      </c>
      <c r="D1043" s="2" t="s">
        <v>1119</v>
      </c>
      <c r="E1043" s="2" t="s">
        <v>85</v>
      </c>
      <c r="F1043" s="25">
        <f>4700+4400-4400.3</f>
        <v>4699.7</v>
      </c>
      <c r="G1043" s="67">
        <v>4377.7051799999999</v>
      </c>
      <c r="H1043" s="97">
        <f t="shared" si="234"/>
        <v>93.148609060152779</v>
      </c>
    </row>
    <row r="1044" spans="1:11" ht="63" x14ac:dyDescent="0.2">
      <c r="A1044" s="155" t="s">
        <v>906</v>
      </c>
      <c r="B1044" s="148" t="s">
        <v>1046</v>
      </c>
      <c r="C1044" s="148" t="s">
        <v>994</v>
      </c>
      <c r="D1044" s="148" t="s">
        <v>847</v>
      </c>
      <c r="E1044" s="219"/>
      <c r="F1044" s="168">
        <f t="shared" ref="F1044:G1046" si="241">F1045</f>
        <v>11610.42116</v>
      </c>
      <c r="G1044" s="168">
        <f t="shared" si="241"/>
        <v>11610.42116</v>
      </c>
      <c r="H1044" s="131">
        <f t="shared" si="234"/>
        <v>100</v>
      </c>
    </row>
    <row r="1045" spans="1:11" ht="18.75" x14ac:dyDescent="0.2">
      <c r="A1045" s="145" t="s">
        <v>871</v>
      </c>
      <c r="B1045" s="141" t="s">
        <v>1046</v>
      </c>
      <c r="C1045" s="141" t="s">
        <v>994</v>
      </c>
      <c r="D1045" s="141" t="s">
        <v>847</v>
      </c>
      <c r="E1045" s="219">
        <v>200</v>
      </c>
      <c r="F1045" s="166">
        <f t="shared" si="241"/>
        <v>11610.42116</v>
      </c>
      <c r="G1045" s="166">
        <f t="shared" si="241"/>
        <v>11610.42116</v>
      </c>
      <c r="H1045" s="131">
        <f t="shared" si="234"/>
        <v>100</v>
      </c>
    </row>
    <row r="1046" spans="1:11" ht="31.5" x14ac:dyDescent="0.2">
      <c r="A1046" s="145" t="s">
        <v>17</v>
      </c>
      <c r="B1046" s="141" t="s">
        <v>1046</v>
      </c>
      <c r="C1046" s="141" t="s">
        <v>994</v>
      </c>
      <c r="D1046" s="141" t="s">
        <v>847</v>
      </c>
      <c r="E1046" s="219">
        <v>240</v>
      </c>
      <c r="F1046" s="166">
        <f t="shared" si="241"/>
        <v>11610.42116</v>
      </c>
      <c r="G1046" s="166">
        <f t="shared" si="241"/>
        <v>11610.42116</v>
      </c>
      <c r="H1046" s="131">
        <f t="shared" si="234"/>
        <v>100</v>
      </c>
    </row>
    <row r="1047" spans="1:11" s="82" customFormat="1" ht="18.75" hidden="1" x14ac:dyDescent="0.2">
      <c r="A1047" s="3" t="s">
        <v>548</v>
      </c>
      <c r="B1047" s="2" t="s">
        <v>1046</v>
      </c>
      <c r="C1047" s="2" t="s">
        <v>994</v>
      </c>
      <c r="D1047" s="2" t="s">
        <v>847</v>
      </c>
      <c r="E1047" s="49">
        <v>244</v>
      </c>
      <c r="F1047" s="36">
        <v>11610.42116</v>
      </c>
      <c r="G1047" s="62">
        <v>11610.42116</v>
      </c>
      <c r="H1047" s="97">
        <f t="shared" si="234"/>
        <v>100</v>
      </c>
    </row>
    <row r="1048" spans="1:11" ht="18.75" x14ac:dyDescent="0.25">
      <c r="A1048" s="163" t="s">
        <v>798</v>
      </c>
      <c r="B1048" s="141" t="s">
        <v>1046</v>
      </c>
      <c r="C1048" s="141" t="s">
        <v>994</v>
      </c>
      <c r="D1048" s="133" t="s">
        <v>799</v>
      </c>
      <c r="E1048" s="133"/>
      <c r="F1048" s="203">
        <f>F1065+F1049+F1057+F1061+F1053</f>
        <v>583970.58000000007</v>
      </c>
      <c r="G1048" s="203">
        <f>G1065+G1049+G1057+G1061+G1053</f>
        <v>455707.65057</v>
      </c>
      <c r="H1048" s="131">
        <f t="shared" si="234"/>
        <v>78.036063147222237</v>
      </c>
      <c r="K1048" s="96">
        <f>455707.65057-G1048</f>
        <v>0</v>
      </c>
    </row>
    <row r="1049" spans="1:11" ht="31.5" x14ac:dyDescent="0.2">
      <c r="A1049" s="140" t="s">
        <v>903</v>
      </c>
      <c r="B1049" s="148" t="s">
        <v>1046</v>
      </c>
      <c r="C1049" s="148" t="s">
        <v>994</v>
      </c>
      <c r="D1049" s="142" t="s">
        <v>904</v>
      </c>
      <c r="E1049" s="148"/>
      <c r="F1049" s="168">
        <f>F1050</f>
        <v>326402.23000000004</v>
      </c>
      <c r="G1049" s="168">
        <f t="shared" ref="G1049:G1051" si="242">G1050</f>
        <v>326402.21753000002</v>
      </c>
      <c r="H1049" s="131">
        <f t="shared" si="234"/>
        <v>99.999996179560412</v>
      </c>
    </row>
    <row r="1050" spans="1:11" ht="31.5" x14ac:dyDescent="0.2">
      <c r="A1050" s="157" t="s">
        <v>493</v>
      </c>
      <c r="B1050" s="141" t="s">
        <v>1046</v>
      </c>
      <c r="C1050" s="141" t="s">
        <v>994</v>
      </c>
      <c r="D1050" s="146" t="s">
        <v>904</v>
      </c>
      <c r="E1050" s="141" t="s">
        <v>34</v>
      </c>
      <c r="F1050" s="166">
        <f>F1051</f>
        <v>326402.23000000004</v>
      </c>
      <c r="G1050" s="166">
        <f t="shared" si="242"/>
        <v>326402.21753000002</v>
      </c>
      <c r="H1050" s="131">
        <f t="shared" si="234"/>
        <v>99.999996179560412</v>
      </c>
    </row>
    <row r="1051" spans="1:11" ht="18.75" x14ac:dyDescent="0.2">
      <c r="A1051" s="157" t="s">
        <v>33</v>
      </c>
      <c r="B1051" s="141" t="s">
        <v>1046</v>
      </c>
      <c r="C1051" s="141" t="s">
        <v>994</v>
      </c>
      <c r="D1051" s="146" t="s">
        <v>904</v>
      </c>
      <c r="E1051" s="141">
        <v>410</v>
      </c>
      <c r="F1051" s="166">
        <f>F1052</f>
        <v>326402.23000000004</v>
      </c>
      <c r="G1051" s="166">
        <f t="shared" si="242"/>
        <v>326402.21753000002</v>
      </c>
      <c r="H1051" s="131">
        <f t="shared" si="234"/>
        <v>99.999996179560412</v>
      </c>
    </row>
    <row r="1052" spans="1:11" s="82" customFormat="1" ht="31.5" hidden="1" x14ac:dyDescent="0.2">
      <c r="A1052" s="28" t="s">
        <v>84</v>
      </c>
      <c r="B1052" s="2" t="s">
        <v>1046</v>
      </c>
      <c r="C1052" s="2" t="s">
        <v>994</v>
      </c>
      <c r="D1052" s="4" t="s">
        <v>904</v>
      </c>
      <c r="E1052" s="2" t="s">
        <v>85</v>
      </c>
      <c r="F1052" s="36">
        <f>372500+25000+3892.84-7447.72-16885.72-50657.17</f>
        <v>326402.23000000004</v>
      </c>
      <c r="G1052" s="36">
        <v>326402.21753000002</v>
      </c>
      <c r="H1052" s="97">
        <f t="shared" si="234"/>
        <v>99.999996179560412</v>
      </c>
    </row>
    <row r="1053" spans="1:11" ht="47.25" x14ac:dyDescent="0.2">
      <c r="A1053" s="155" t="s">
        <v>1144</v>
      </c>
      <c r="B1053" s="141" t="s">
        <v>1046</v>
      </c>
      <c r="C1053" s="141" t="s">
        <v>994</v>
      </c>
      <c r="D1053" s="142" t="s">
        <v>1143</v>
      </c>
      <c r="E1053" s="148"/>
      <c r="F1053" s="168">
        <f>F1054</f>
        <v>161572.59</v>
      </c>
      <c r="G1053" s="168">
        <f t="shared" ref="G1053:G1055" si="243">G1054</f>
        <v>33391.70304</v>
      </c>
      <c r="H1053" s="131">
        <f t="shared" ref="H1053:H1109" si="244">G1053/F1053*100</f>
        <v>20.66668798216331</v>
      </c>
    </row>
    <row r="1054" spans="1:11" ht="31.5" x14ac:dyDescent="0.2">
      <c r="A1054" s="157" t="s">
        <v>493</v>
      </c>
      <c r="B1054" s="141" t="s">
        <v>1046</v>
      </c>
      <c r="C1054" s="141" t="s">
        <v>994</v>
      </c>
      <c r="D1054" s="146" t="s">
        <v>1143</v>
      </c>
      <c r="E1054" s="141" t="s">
        <v>34</v>
      </c>
      <c r="F1054" s="166">
        <f>F1055</f>
        <v>161572.59</v>
      </c>
      <c r="G1054" s="166">
        <f t="shared" si="243"/>
        <v>33391.70304</v>
      </c>
      <c r="H1054" s="131">
        <f t="shared" si="244"/>
        <v>20.66668798216331</v>
      </c>
    </row>
    <row r="1055" spans="1:11" ht="18.75" x14ac:dyDescent="0.2">
      <c r="A1055" s="157" t="s">
        <v>33</v>
      </c>
      <c r="B1055" s="141" t="s">
        <v>1046</v>
      </c>
      <c r="C1055" s="141" t="s">
        <v>994</v>
      </c>
      <c r="D1055" s="146" t="s">
        <v>1143</v>
      </c>
      <c r="E1055" s="141">
        <v>410</v>
      </c>
      <c r="F1055" s="166">
        <f>F1056</f>
        <v>161572.59</v>
      </c>
      <c r="G1055" s="166">
        <f t="shared" si="243"/>
        <v>33391.70304</v>
      </c>
      <c r="H1055" s="131">
        <f t="shared" si="244"/>
        <v>20.66668798216331</v>
      </c>
    </row>
    <row r="1056" spans="1:11" s="82" customFormat="1" ht="42" hidden="1" customHeight="1" x14ac:dyDescent="0.2">
      <c r="A1056" s="28" t="s">
        <v>84</v>
      </c>
      <c r="B1056" s="2" t="s">
        <v>1046</v>
      </c>
      <c r="C1056" s="2" t="s">
        <v>994</v>
      </c>
      <c r="D1056" s="4" t="s">
        <v>1143</v>
      </c>
      <c r="E1056" s="2" t="s">
        <v>85</v>
      </c>
      <c r="F1056" s="36">
        <f>0+126035.95+6633.48+1445.16+27458</f>
        <v>161572.59</v>
      </c>
      <c r="G1056" s="66">
        <v>33391.70304</v>
      </c>
      <c r="H1056" s="97">
        <f t="shared" si="244"/>
        <v>20.66668798216331</v>
      </c>
    </row>
    <row r="1057" spans="1:8" ht="31.5" x14ac:dyDescent="0.2">
      <c r="A1057" s="140" t="s">
        <v>965</v>
      </c>
      <c r="B1057" s="148" t="s">
        <v>1046</v>
      </c>
      <c r="C1057" s="148" t="s">
        <v>994</v>
      </c>
      <c r="D1057" s="148" t="s">
        <v>939</v>
      </c>
      <c r="E1057" s="148"/>
      <c r="F1057" s="183">
        <f t="shared" ref="F1057:G1059" si="245">F1058</f>
        <v>45045.46</v>
      </c>
      <c r="G1057" s="183">
        <f t="shared" si="245"/>
        <v>45045</v>
      </c>
      <c r="H1057" s="131">
        <f t="shared" si="244"/>
        <v>99.99897880940722</v>
      </c>
    </row>
    <row r="1058" spans="1:8" ht="18.75" x14ac:dyDescent="0.2">
      <c r="A1058" s="145" t="s">
        <v>871</v>
      </c>
      <c r="B1058" s="141" t="s">
        <v>1046</v>
      </c>
      <c r="C1058" s="141" t="s">
        <v>994</v>
      </c>
      <c r="D1058" s="141" t="s">
        <v>939</v>
      </c>
      <c r="E1058" s="141" t="s">
        <v>15</v>
      </c>
      <c r="F1058" s="160">
        <f t="shared" si="245"/>
        <v>45045.46</v>
      </c>
      <c r="G1058" s="160">
        <f t="shared" si="245"/>
        <v>45045</v>
      </c>
      <c r="H1058" s="131">
        <f t="shared" si="244"/>
        <v>99.99897880940722</v>
      </c>
    </row>
    <row r="1059" spans="1:8" ht="31.5" x14ac:dyDescent="0.2">
      <c r="A1059" s="145" t="s">
        <v>17</v>
      </c>
      <c r="B1059" s="141" t="s">
        <v>1046</v>
      </c>
      <c r="C1059" s="141" t="s">
        <v>994</v>
      </c>
      <c r="D1059" s="141" t="s">
        <v>939</v>
      </c>
      <c r="E1059" s="141" t="s">
        <v>16</v>
      </c>
      <c r="F1059" s="160">
        <f t="shared" si="245"/>
        <v>45045.46</v>
      </c>
      <c r="G1059" s="160">
        <f t="shared" si="245"/>
        <v>45045</v>
      </c>
      <c r="H1059" s="131">
        <f t="shared" si="244"/>
        <v>99.99897880940722</v>
      </c>
    </row>
    <row r="1060" spans="1:8" s="82" customFormat="1" ht="18.75" hidden="1" x14ac:dyDescent="0.2">
      <c r="A1060" s="3" t="s">
        <v>548</v>
      </c>
      <c r="B1060" s="2" t="s">
        <v>1046</v>
      </c>
      <c r="C1060" s="2" t="s">
        <v>994</v>
      </c>
      <c r="D1060" s="2" t="s">
        <v>939</v>
      </c>
      <c r="E1060" s="2" t="s">
        <v>67</v>
      </c>
      <c r="F1060" s="37">
        <f>455+45045-450-4.54</f>
        <v>45045.46</v>
      </c>
      <c r="G1060" s="62">
        <v>45045</v>
      </c>
      <c r="H1060" s="97">
        <f t="shared" si="244"/>
        <v>99.99897880940722</v>
      </c>
    </row>
    <row r="1061" spans="1:8" ht="31.5" x14ac:dyDescent="0.2">
      <c r="A1061" s="140" t="s">
        <v>938</v>
      </c>
      <c r="B1061" s="148" t="s">
        <v>1046</v>
      </c>
      <c r="C1061" s="148" t="s">
        <v>994</v>
      </c>
      <c r="D1061" s="148" t="s">
        <v>940</v>
      </c>
      <c r="E1061" s="148"/>
      <c r="F1061" s="183">
        <f t="shared" ref="F1061:G1063" si="246">F1062</f>
        <v>18526</v>
      </c>
      <c r="G1061" s="183">
        <f t="shared" si="246"/>
        <v>18525</v>
      </c>
      <c r="H1061" s="131">
        <f t="shared" si="244"/>
        <v>99.994602180718999</v>
      </c>
    </row>
    <row r="1062" spans="1:8" ht="31.5" x14ac:dyDescent="0.2">
      <c r="A1062" s="145" t="s">
        <v>18</v>
      </c>
      <c r="B1062" s="141" t="s">
        <v>1046</v>
      </c>
      <c r="C1062" s="141" t="s">
        <v>994</v>
      </c>
      <c r="D1062" s="141" t="s">
        <v>940</v>
      </c>
      <c r="E1062" s="141" t="s">
        <v>20</v>
      </c>
      <c r="F1062" s="160">
        <f t="shared" si="246"/>
        <v>18526</v>
      </c>
      <c r="G1062" s="160">
        <f t="shared" si="246"/>
        <v>18525</v>
      </c>
      <c r="H1062" s="131">
        <f t="shared" si="244"/>
        <v>99.994602180718999</v>
      </c>
    </row>
    <row r="1063" spans="1:8" ht="18.75" x14ac:dyDescent="0.2">
      <c r="A1063" s="145" t="s">
        <v>115</v>
      </c>
      <c r="B1063" s="141" t="s">
        <v>1046</v>
      </c>
      <c r="C1063" s="141" t="s">
        <v>994</v>
      </c>
      <c r="D1063" s="141" t="s">
        <v>940</v>
      </c>
      <c r="E1063" s="141" t="s">
        <v>21</v>
      </c>
      <c r="F1063" s="160">
        <f t="shared" si="246"/>
        <v>18526</v>
      </c>
      <c r="G1063" s="160">
        <f t="shared" si="246"/>
        <v>18525</v>
      </c>
      <c r="H1063" s="131">
        <f t="shared" si="244"/>
        <v>99.994602180718999</v>
      </c>
    </row>
    <row r="1064" spans="1:8" s="82" customFormat="1" ht="18.75" hidden="1" x14ac:dyDescent="0.2">
      <c r="A1064" s="3" t="s">
        <v>74</v>
      </c>
      <c r="B1064" s="2" t="s">
        <v>1046</v>
      </c>
      <c r="C1064" s="2" t="s">
        <v>994</v>
      </c>
      <c r="D1064" s="2" t="s">
        <v>940</v>
      </c>
      <c r="E1064" s="2" t="s">
        <v>75</v>
      </c>
      <c r="F1064" s="62">
        <f>195+19305-9-965</f>
        <v>18526</v>
      </c>
      <c r="G1064" s="62">
        <v>18525</v>
      </c>
      <c r="H1064" s="97">
        <f t="shared" si="244"/>
        <v>99.994602180718999</v>
      </c>
    </row>
    <row r="1065" spans="1:8" ht="31.5" x14ac:dyDescent="0.25">
      <c r="A1065" s="167" t="s">
        <v>945</v>
      </c>
      <c r="B1065" s="141" t="s">
        <v>1046</v>
      </c>
      <c r="C1065" s="141" t="s">
        <v>994</v>
      </c>
      <c r="D1065" s="148" t="s">
        <v>800</v>
      </c>
      <c r="E1065" s="172"/>
      <c r="F1065" s="183">
        <f>F1066</f>
        <v>32424.3</v>
      </c>
      <c r="G1065" s="183">
        <f t="shared" ref="G1065:G1067" si="247">G1066</f>
        <v>32343.73</v>
      </c>
      <c r="H1065" s="131">
        <f t="shared" si="244"/>
        <v>99.751513525349807</v>
      </c>
    </row>
    <row r="1066" spans="1:8" ht="18.75" x14ac:dyDescent="0.2">
      <c r="A1066" s="145" t="s">
        <v>871</v>
      </c>
      <c r="B1066" s="141" t="s">
        <v>1046</v>
      </c>
      <c r="C1066" s="141" t="s">
        <v>994</v>
      </c>
      <c r="D1066" s="141" t="s">
        <v>800</v>
      </c>
      <c r="E1066" s="141" t="s">
        <v>15</v>
      </c>
      <c r="F1066" s="160">
        <f>F1067</f>
        <v>32424.3</v>
      </c>
      <c r="G1066" s="160">
        <f t="shared" si="247"/>
        <v>32343.73</v>
      </c>
      <c r="H1066" s="131">
        <f t="shared" si="244"/>
        <v>99.751513525349807</v>
      </c>
    </row>
    <row r="1067" spans="1:8" ht="31.5" x14ac:dyDescent="0.2">
      <c r="A1067" s="145" t="s">
        <v>17</v>
      </c>
      <c r="B1067" s="141" t="s">
        <v>1046</v>
      </c>
      <c r="C1067" s="141" t="s">
        <v>994</v>
      </c>
      <c r="D1067" s="141" t="s">
        <v>800</v>
      </c>
      <c r="E1067" s="141" t="s">
        <v>16</v>
      </c>
      <c r="F1067" s="160">
        <f>F1068</f>
        <v>32424.3</v>
      </c>
      <c r="G1067" s="160">
        <f t="shared" si="247"/>
        <v>32343.73</v>
      </c>
      <c r="H1067" s="131">
        <f t="shared" si="244"/>
        <v>99.751513525349807</v>
      </c>
    </row>
    <row r="1068" spans="1:8" s="82" customFormat="1" ht="18.75" hidden="1" x14ac:dyDescent="0.2">
      <c r="A1068" s="3" t="s">
        <v>548</v>
      </c>
      <c r="B1068" s="2" t="s">
        <v>1046</v>
      </c>
      <c r="C1068" s="2" t="s">
        <v>994</v>
      </c>
      <c r="D1068" s="2" t="s">
        <v>800</v>
      </c>
      <c r="E1068" s="2" t="s">
        <v>67</v>
      </c>
      <c r="F1068" s="62">
        <f>4780+7726.63+11110.41+19388.57-5565.18-5016.13</f>
        <v>32424.3</v>
      </c>
      <c r="G1068" s="62">
        <v>32343.73</v>
      </c>
      <c r="H1068" s="97">
        <f t="shared" si="244"/>
        <v>99.751513525349807</v>
      </c>
    </row>
    <row r="1069" spans="1:8" ht="18.75" x14ac:dyDescent="0.2">
      <c r="A1069" s="135" t="s">
        <v>737</v>
      </c>
      <c r="B1069" s="136" t="s">
        <v>1046</v>
      </c>
      <c r="C1069" s="136" t="s">
        <v>994</v>
      </c>
      <c r="D1069" s="137" t="s">
        <v>738</v>
      </c>
      <c r="E1069" s="136"/>
      <c r="F1069" s="138">
        <f>F1070+F1075+F1092</f>
        <v>68088.953999999998</v>
      </c>
      <c r="G1069" s="138">
        <f>G1070+G1075+G1092</f>
        <v>65731.292220000003</v>
      </c>
      <c r="H1069" s="131">
        <f t="shared" si="244"/>
        <v>96.537379939777026</v>
      </c>
    </row>
    <row r="1070" spans="1:8" ht="31.5" x14ac:dyDescent="0.2">
      <c r="A1070" s="132" t="s">
        <v>739</v>
      </c>
      <c r="B1070" s="133" t="s">
        <v>1046</v>
      </c>
      <c r="C1070" s="133" t="s">
        <v>994</v>
      </c>
      <c r="D1070" s="133" t="s">
        <v>740</v>
      </c>
      <c r="E1070" s="141"/>
      <c r="F1070" s="203">
        <f>F1071</f>
        <v>40445.159999999996</v>
      </c>
      <c r="G1070" s="203">
        <f t="shared" ref="G1070" si="248">G1071</f>
        <v>38147.681989999997</v>
      </c>
      <c r="H1070" s="131">
        <f t="shared" si="244"/>
        <v>94.319523003494126</v>
      </c>
    </row>
    <row r="1071" spans="1:8" ht="18.75" x14ac:dyDescent="0.2">
      <c r="A1071" s="140" t="s">
        <v>741</v>
      </c>
      <c r="B1071" s="148" t="s">
        <v>1046</v>
      </c>
      <c r="C1071" s="148" t="s">
        <v>994</v>
      </c>
      <c r="D1071" s="142" t="s">
        <v>742</v>
      </c>
      <c r="E1071" s="171"/>
      <c r="F1071" s="183">
        <f t="shared" ref="F1071:G1073" si="249">F1072</f>
        <v>40445.159999999996</v>
      </c>
      <c r="G1071" s="183">
        <f>G1072</f>
        <v>38147.681989999997</v>
      </c>
      <c r="H1071" s="131">
        <f t="shared" si="244"/>
        <v>94.319523003494126</v>
      </c>
    </row>
    <row r="1072" spans="1:8" ht="18.75" x14ac:dyDescent="0.2">
      <c r="A1072" s="145" t="s">
        <v>871</v>
      </c>
      <c r="B1072" s="141" t="s">
        <v>1046</v>
      </c>
      <c r="C1072" s="141" t="s">
        <v>994</v>
      </c>
      <c r="D1072" s="146" t="s">
        <v>742</v>
      </c>
      <c r="E1072" s="219">
        <v>200</v>
      </c>
      <c r="F1072" s="160">
        <f t="shared" si="249"/>
        <v>40445.159999999996</v>
      </c>
      <c r="G1072" s="160">
        <f t="shared" si="249"/>
        <v>38147.681989999997</v>
      </c>
      <c r="H1072" s="131">
        <f t="shared" si="244"/>
        <v>94.319523003494126</v>
      </c>
    </row>
    <row r="1073" spans="1:8" ht="31.5" x14ac:dyDescent="0.2">
      <c r="A1073" s="145" t="s">
        <v>17</v>
      </c>
      <c r="B1073" s="141" t="s">
        <v>1046</v>
      </c>
      <c r="C1073" s="141" t="s">
        <v>994</v>
      </c>
      <c r="D1073" s="146" t="s">
        <v>742</v>
      </c>
      <c r="E1073" s="219">
        <v>240</v>
      </c>
      <c r="F1073" s="160">
        <f t="shared" si="249"/>
        <v>40445.159999999996</v>
      </c>
      <c r="G1073" s="160">
        <f t="shared" si="249"/>
        <v>38147.681989999997</v>
      </c>
      <c r="H1073" s="131">
        <f t="shared" si="244"/>
        <v>94.319523003494126</v>
      </c>
    </row>
    <row r="1074" spans="1:8" s="82" customFormat="1" ht="18.75" hidden="1" x14ac:dyDescent="0.2">
      <c r="A1074" s="3" t="s">
        <v>548</v>
      </c>
      <c r="B1074" s="2" t="s">
        <v>1046</v>
      </c>
      <c r="C1074" s="2" t="s">
        <v>994</v>
      </c>
      <c r="D1074" s="4" t="s">
        <v>742</v>
      </c>
      <c r="E1074" s="49">
        <v>244</v>
      </c>
      <c r="F1074" s="62">
        <f>50604-24000-2230+8000-45+10000-27+6000-407-5-5827-500-2700-30-162+1800-0.44-25.4</f>
        <v>40445.159999999996</v>
      </c>
      <c r="G1074" s="62">
        <v>38147.681989999997</v>
      </c>
      <c r="H1074" s="97">
        <f t="shared" si="244"/>
        <v>94.319523003494126</v>
      </c>
    </row>
    <row r="1075" spans="1:8" ht="31.5" x14ac:dyDescent="0.2">
      <c r="A1075" s="132" t="s">
        <v>743</v>
      </c>
      <c r="B1075" s="133" t="s">
        <v>1046</v>
      </c>
      <c r="C1075" s="133" t="s">
        <v>994</v>
      </c>
      <c r="D1075" s="133" t="s">
        <v>744</v>
      </c>
      <c r="E1075" s="133"/>
      <c r="F1075" s="203">
        <f>F1076+F1080+F1084+F1088</f>
        <v>21736.625</v>
      </c>
      <c r="G1075" s="203">
        <f t="shared" ref="G1075" si="250">G1076+G1080+G1084+G1088</f>
        <v>21676.441710000003</v>
      </c>
      <c r="H1075" s="131">
        <f t="shared" si="244"/>
        <v>99.72312495615121</v>
      </c>
    </row>
    <row r="1076" spans="1:8" ht="18.75" x14ac:dyDescent="0.2">
      <c r="A1076" s="140" t="s">
        <v>745</v>
      </c>
      <c r="B1076" s="148" t="s">
        <v>1046</v>
      </c>
      <c r="C1076" s="148" t="s">
        <v>994</v>
      </c>
      <c r="D1076" s="142" t="s">
        <v>746</v>
      </c>
      <c r="E1076" s="171"/>
      <c r="F1076" s="183">
        <f t="shared" ref="F1076:G1078" si="251">F1077</f>
        <v>3573.8069999999998</v>
      </c>
      <c r="G1076" s="183">
        <f t="shared" si="251"/>
        <v>3573.80627</v>
      </c>
      <c r="H1076" s="131">
        <f t="shared" si="244"/>
        <v>99.99997957360317</v>
      </c>
    </row>
    <row r="1077" spans="1:8" ht="18.75" x14ac:dyDescent="0.2">
      <c r="A1077" s="145" t="s">
        <v>871</v>
      </c>
      <c r="B1077" s="141" t="s">
        <v>1046</v>
      </c>
      <c r="C1077" s="141" t="s">
        <v>994</v>
      </c>
      <c r="D1077" s="146" t="s">
        <v>746</v>
      </c>
      <c r="E1077" s="219">
        <v>200</v>
      </c>
      <c r="F1077" s="160">
        <f t="shared" si="251"/>
        <v>3573.8069999999998</v>
      </c>
      <c r="G1077" s="160">
        <f t="shared" si="251"/>
        <v>3573.80627</v>
      </c>
      <c r="H1077" s="131">
        <f t="shared" si="244"/>
        <v>99.99997957360317</v>
      </c>
    </row>
    <row r="1078" spans="1:8" ht="31.5" x14ac:dyDescent="0.2">
      <c r="A1078" s="145" t="s">
        <v>17</v>
      </c>
      <c r="B1078" s="141" t="s">
        <v>1046</v>
      </c>
      <c r="C1078" s="141" t="s">
        <v>994</v>
      </c>
      <c r="D1078" s="146" t="s">
        <v>746</v>
      </c>
      <c r="E1078" s="219">
        <v>240</v>
      </c>
      <c r="F1078" s="160">
        <f t="shared" si="251"/>
        <v>3573.8069999999998</v>
      </c>
      <c r="G1078" s="160">
        <f t="shared" si="251"/>
        <v>3573.80627</v>
      </c>
      <c r="H1078" s="131">
        <f t="shared" si="244"/>
        <v>99.99997957360317</v>
      </c>
    </row>
    <row r="1079" spans="1:8" s="82" customFormat="1" ht="18.75" hidden="1" x14ac:dyDescent="0.2">
      <c r="A1079" s="3" t="s">
        <v>548</v>
      </c>
      <c r="B1079" s="2" t="s">
        <v>1046</v>
      </c>
      <c r="C1079" s="2" t="s">
        <v>994</v>
      </c>
      <c r="D1079" s="4" t="s">
        <v>746</v>
      </c>
      <c r="E1079" s="49">
        <v>244</v>
      </c>
      <c r="F1079" s="62">
        <f>7860-1000-1236-2050.193</f>
        <v>3573.8069999999998</v>
      </c>
      <c r="G1079" s="62">
        <v>3573.80627</v>
      </c>
      <c r="H1079" s="97">
        <f t="shared" si="244"/>
        <v>99.99997957360317</v>
      </c>
    </row>
    <row r="1080" spans="1:8" ht="18.75" x14ac:dyDescent="0.2">
      <c r="A1080" s="140" t="s">
        <v>747</v>
      </c>
      <c r="B1080" s="148" t="s">
        <v>1046</v>
      </c>
      <c r="C1080" s="148" t="s">
        <v>994</v>
      </c>
      <c r="D1080" s="142" t="s">
        <v>748</v>
      </c>
      <c r="E1080" s="171"/>
      <c r="F1080" s="183">
        <f>F1081</f>
        <v>16759.817999999999</v>
      </c>
      <c r="G1080" s="183">
        <f t="shared" ref="G1080" si="252">G1081</f>
        <v>16700.265660000001</v>
      </c>
      <c r="H1080" s="131">
        <f t="shared" si="244"/>
        <v>99.644671917081681</v>
      </c>
    </row>
    <row r="1081" spans="1:8" ht="18.75" x14ac:dyDescent="0.2">
      <c r="A1081" s="145" t="s">
        <v>871</v>
      </c>
      <c r="B1081" s="141" t="s">
        <v>1046</v>
      </c>
      <c r="C1081" s="141" t="s">
        <v>994</v>
      </c>
      <c r="D1081" s="146" t="s">
        <v>748</v>
      </c>
      <c r="E1081" s="219">
        <v>200</v>
      </c>
      <c r="F1081" s="160">
        <f t="shared" ref="F1081:G1082" si="253">F1082</f>
        <v>16759.817999999999</v>
      </c>
      <c r="G1081" s="160">
        <f t="shared" si="253"/>
        <v>16700.265660000001</v>
      </c>
      <c r="H1081" s="131">
        <f t="shared" si="244"/>
        <v>99.644671917081681</v>
      </c>
    </row>
    <row r="1082" spans="1:8" ht="31.5" x14ac:dyDescent="0.2">
      <c r="A1082" s="145" t="s">
        <v>17</v>
      </c>
      <c r="B1082" s="141" t="s">
        <v>1046</v>
      </c>
      <c r="C1082" s="141" t="s">
        <v>994</v>
      </c>
      <c r="D1082" s="146" t="s">
        <v>748</v>
      </c>
      <c r="E1082" s="219">
        <v>240</v>
      </c>
      <c r="F1082" s="160">
        <f t="shared" si="253"/>
        <v>16759.817999999999</v>
      </c>
      <c r="G1082" s="160">
        <f t="shared" si="253"/>
        <v>16700.265660000001</v>
      </c>
      <c r="H1082" s="131">
        <f t="shared" si="244"/>
        <v>99.644671917081681</v>
      </c>
    </row>
    <row r="1083" spans="1:8" s="82" customFormat="1" ht="18.75" hidden="1" x14ac:dyDescent="0.2">
      <c r="A1083" s="3" t="s">
        <v>548</v>
      </c>
      <c r="B1083" s="2" t="s">
        <v>1046</v>
      </c>
      <c r="C1083" s="2" t="s">
        <v>994</v>
      </c>
      <c r="D1083" s="4" t="s">
        <v>748</v>
      </c>
      <c r="E1083" s="49">
        <v>244</v>
      </c>
      <c r="F1083" s="62">
        <f>20000-5000+2000-31+3000-50-50-1799-282-2000-194-2044+3823.177-1-350.954-154.346-106.902-0.157</f>
        <v>16759.817999999999</v>
      </c>
      <c r="G1083" s="62">
        <v>16700.265660000001</v>
      </c>
      <c r="H1083" s="97">
        <f t="shared" si="244"/>
        <v>99.644671917081681</v>
      </c>
    </row>
    <row r="1084" spans="1:8" ht="18.75" x14ac:dyDescent="0.2">
      <c r="A1084" s="140" t="s">
        <v>749</v>
      </c>
      <c r="B1084" s="148" t="s">
        <v>1046</v>
      </c>
      <c r="C1084" s="148" t="s">
        <v>994</v>
      </c>
      <c r="D1084" s="142" t="s">
        <v>750</v>
      </c>
      <c r="E1084" s="171"/>
      <c r="F1084" s="183">
        <f>F1085</f>
        <v>790</v>
      </c>
      <c r="G1084" s="183">
        <f>G1085</f>
        <v>790</v>
      </c>
      <c r="H1084" s="131">
        <f t="shared" si="244"/>
        <v>100</v>
      </c>
    </row>
    <row r="1085" spans="1:8" ht="18.75" x14ac:dyDescent="0.2">
      <c r="A1085" s="145" t="s">
        <v>871</v>
      </c>
      <c r="B1085" s="141" t="s">
        <v>1046</v>
      </c>
      <c r="C1085" s="141" t="s">
        <v>994</v>
      </c>
      <c r="D1085" s="146" t="s">
        <v>750</v>
      </c>
      <c r="E1085" s="219">
        <v>200</v>
      </c>
      <c r="F1085" s="183">
        <f>F1086</f>
        <v>790</v>
      </c>
      <c r="G1085" s="183">
        <f t="shared" ref="G1085:G1086" si="254">G1086</f>
        <v>790</v>
      </c>
      <c r="H1085" s="131">
        <f t="shared" si="244"/>
        <v>100</v>
      </c>
    </row>
    <row r="1086" spans="1:8" ht="31.5" x14ac:dyDescent="0.2">
      <c r="A1086" s="145" t="s">
        <v>17</v>
      </c>
      <c r="B1086" s="141" t="s">
        <v>1046</v>
      </c>
      <c r="C1086" s="141" t="s">
        <v>994</v>
      </c>
      <c r="D1086" s="146" t="s">
        <v>750</v>
      </c>
      <c r="E1086" s="219">
        <v>240</v>
      </c>
      <c r="F1086" s="183">
        <f>F1087</f>
        <v>790</v>
      </c>
      <c r="G1086" s="183">
        <f t="shared" si="254"/>
        <v>790</v>
      </c>
      <c r="H1086" s="131">
        <f t="shared" si="244"/>
        <v>100</v>
      </c>
    </row>
    <row r="1087" spans="1:8" s="82" customFormat="1" ht="18.75" hidden="1" x14ac:dyDescent="0.2">
      <c r="A1087" s="3" t="s">
        <v>548</v>
      </c>
      <c r="B1087" s="2" t="s">
        <v>1046</v>
      </c>
      <c r="C1087" s="2" t="s">
        <v>994</v>
      </c>
      <c r="D1087" s="4" t="s">
        <v>750</v>
      </c>
      <c r="E1087" s="49">
        <v>244</v>
      </c>
      <c r="F1087" s="64">
        <f>973.47-183-0.47</f>
        <v>790</v>
      </c>
      <c r="G1087" s="64">
        <v>790</v>
      </c>
      <c r="H1087" s="97">
        <f t="shared" si="244"/>
        <v>100</v>
      </c>
    </row>
    <row r="1088" spans="1:8" ht="18.75" x14ac:dyDescent="0.2">
      <c r="A1088" s="140" t="s">
        <v>892</v>
      </c>
      <c r="B1088" s="148" t="s">
        <v>1046</v>
      </c>
      <c r="C1088" s="148" t="s">
        <v>994</v>
      </c>
      <c r="D1088" s="142" t="s">
        <v>751</v>
      </c>
      <c r="E1088" s="171"/>
      <c r="F1088" s="183">
        <f>F1089</f>
        <v>613</v>
      </c>
      <c r="G1088" s="183">
        <f t="shared" ref="G1088" si="255">G1089</f>
        <v>612.36977999999999</v>
      </c>
      <c r="H1088" s="131">
        <f t="shared" si="244"/>
        <v>99.897190864600333</v>
      </c>
    </row>
    <row r="1089" spans="1:11" ht="18.75" x14ac:dyDescent="0.2">
      <c r="A1089" s="145" t="s">
        <v>871</v>
      </c>
      <c r="B1089" s="141" t="s">
        <v>1046</v>
      </c>
      <c r="C1089" s="141" t="s">
        <v>994</v>
      </c>
      <c r="D1089" s="146" t="s">
        <v>751</v>
      </c>
      <c r="E1089" s="219">
        <v>200</v>
      </c>
      <c r="F1089" s="160">
        <f t="shared" ref="F1089:G1090" si="256">F1090</f>
        <v>613</v>
      </c>
      <c r="G1089" s="160">
        <f t="shared" si="256"/>
        <v>612.36977999999999</v>
      </c>
      <c r="H1089" s="131">
        <f t="shared" si="244"/>
        <v>99.897190864600333</v>
      </c>
    </row>
    <row r="1090" spans="1:11" ht="31.5" x14ac:dyDescent="0.2">
      <c r="A1090" s="145" t="s">
        <v>17</v>
      </c>
      <c r="B1090" s="141" t="s">
        <v>1046</v>
      </c>
      <c r="C1090" s="141" t="s">
        <v>994</v>
      </c>
      <c r="D1090" s="146" t="s">
        <v>751</v>
      </c>
      <c r="E1090" s="219">
        <v>240</v>
      </c>
      <c r="F1090" s="160">
        <f t="shared" si="256"/>
        <v>613</v>
      </c>
      <c r="G1090" s="160">
        <f t="shared" si="256"/>
        <v>612.36977999999999</v>
      </c>
      <c r="H1090" s="131">
        <f t="shared" si="244"/>
        <v>99.897190864600333</v>
      </c>
    </row>
    <row r="1091" spans="1:11" s="82" customFormat="1" ht="18.75" hidden="1" x14ac:dyDescent="0.2">
      <c r="A1091" s="3" t="s">
        <v>548</v>
      </c>
      <c r="B1091" s="2" t="s">
        <v>1046</v>
      </c>
      <c r="C1091" s="2" t="s">
        <v>994</v>
      </c>
      <c r="D1091" s="4" t="s">
        <v>751</v>
      </c>
      <c r="E1091" s="49">
        <v>244</v>
      </c>
      <c r="F1091" s="62">
        <f>1400-787</f>
        <v>613</v>
      </c>
      <c r="G1091" s="62">
        <v>612.36977999999999</v>
      </c>
      <c r="H1091" s="97">
        <f t="shared" si="244"/>
        <v>99.897190864600333</v>
      </c>
    </row>
    <row r="1092" spans="1:11" ht="18.75" x14ac:dyDescent="0.2">
      <c r="A1092" s="132" t="s">
        <v>754</v>
      </c>
      <c r="B1092" s="133" t="s">
        <v>1046</v>
      </c>
      <c r="C1092" s="133" t="s">
        <v>994</v>
      </c>
      <c r="D1092" s="139" t="s">
        <v>755</v>
      </c>
      <c r="E1092" s="171"/>
      <c r="F1092" s="203">
        <f>F1093+F1097</f>
        <v>5907.1689999999999</v>
      </c>
      <c r="G1092" s="203">
        <f t="shared" ref="G1092" si="257">G1093+G1097</f>
        <v>5907.1685200000002</v>
      </c>
      <c r="H1092" s="131">
        <f t="shared" si="244"/>
        <v>99.999991874280227</v>
      </c>
    </row>
    <row r="1093" spans="1:11" ht="18.75" x14ac:dyDescent="0.2">
      <c r="A1093" s="140" t="s">
        <v>772</v>
      </c>
      <c r="B1093" s="148" t="s">
        <v>1046</v>
      </c>
      <c r="C1093" s="148" t="s">
        <v>994</v>
      </c>
      <c r="D1093" s="142" t="s">
        <v>756</v>
      </c>
      <c r="E1093" s="171"/>
      <c r="F1093" s="183">
        <f>F1094</f>
        <v>2261.5</v>
      </c>
      <c r="G1093" s="183">
        <f t="shared" ref="G1093:G1095" si="258">G1094</f>
        <v>2261.5</v>
      </c>
      <c r="H1093" s="131">
        <f t="shared" si="244"/>
        <v>100</v>
      </c>
    </row>
    <row r="1094" spans="1:11" ht="31.5" x14ac:dyDescent="0.2">
      <c r="A1094" s="145" t="s">
        <v>18</v>
      </c>
      <c r="B1094" s="141" t="s">
        <v>1046</v>
      </c>
      <c r="C1094" s="141" t="s">
        <v>994</v>
      </c>
      <c r="D1094" s="146" t="s">
        <v>756</v>
      </c>
      <c r="E1094" s="219">
        <v>600</v>
      </c>
      <c r="F1094" s="160">
        <f>F1095</f>
        <v>2261.5</v>
      </c>
      <c r="G1094" s="160">
        <f t="shared" si="258"/>
        <v>2261.5</v>
      </c>
      <c r="H1094" s="131">
        <f t="shared" si="244"/>
        <v>100</v>
      </c>
    </row>
    <row r="1095" spans="1:11" ht="18.75" x14ac:dyDescent="0.2">
      <c r="A1095" s="145" t="s">
        <v>24</v>
      </c>
      <c r="B1095" s="141" t="s">
        <v>1046</v>
      </c>
      <c r="C1095" s="141" t="s">
        <v>994</v>
      </c>
      <c r="D1095" s="146" t="s">
        <v>756</v>
      </c>
      <c r="E1095" s="219">
        <v>610</v>
      </c>
      <c r="F1095" s="160">
        <f>F1096</f>
        <v>2261.5</v>
      </c>
      <c r="G1095" s="160">
        <f t="shared" si="258"/>
        <v>2261.5</v>
      </c>
      <c r="H1095" s="131">
        <f t="shared" si="244"/>
        <v>100</v>
      </c>
    </row>
    <row r="1096" spans="1:11" s="82" customFormat="1" ht="18.75" hidden="1" x14ac:dyDescent="0.2">
      <c r="A1096" s="3" t="s">
        <v>72</v>
      </c>
      <c r="B1096" s="2" t="s">
        <v>1046</v>
      </c>
      <c r="C1096" s="2" t="s">
        <v>994</v>
      </c>
      <c r="D1096" s="4" t="s">
        <v>756</v>
      </c>
      <c r="E1096" s="49">
        <v>612</v>
      </c>
      <c r="F1096" s="25">
        <f>2340-78.5</f>
        <v>2261.5</v>
      </c>
      <c r="G1096" s="62">
        <v>2261.5</v>
      </c>
      <c r="H1096" s="97">
        <f t="shared" si="244"/>
        <v>100</v>
      </c>
    </row>
    <row r="1097" spans="1:11" ht="18.75" x14ac:dyDescent="0.2">
      <c r="A1097" s="140" t="s">
        <v>757</v>
      </c>
      <c r="B1097" s="148" t="s">
        <v>1046</v>
      </c>
      <c r="C1097" s="148" t="s">
        <v>994</v>
      </c>
      <c r="D1097" s="142" t="s">
        <v>758</v>
      </c>
      <c r="E1097" s="219"/>
      <c r="F1097" s="160">
        <f>F1098</f>
        <v>3645.6689999999999</v>
      </c>
      <c r="G1097" s="160">
        <f t="shared" ref="G1097:G1099" si="259">G1098</f>
        <v>3645.6685200000002</v>
      </c>
      <c r="H1097" s="131">
        <f t="shared" si="244"/>
        <v>99.999986833692262</v>
      </c>
    </row>
    <row r="1098" spans="1:11" ht="18.75" x14ac:dyDescent="0.2">
      <c r="A1098" s="145" t="s">
        <v>871</v>
      </c>
      <c r="B1098" s="141" t="s">
        <v>1046</v>
      </c>
      <c r="C1098" s="141" t="s">
        <v>994</v>
      </c>
      <c r="D1098" s="146" t="s">
        <v>758</v>
      </c>
      <c r="E1098" s="219">
        <v>200</v>
      </c>
      <c r="F1098" s="160">
        <f>F1099</f>
        <v>3645.6689999999999</v>
      </c>
      <c r="G1098" s="160">
        <f t="shared" si="259"/>
        <v>3645.6685200000002</v>
      </c>
      <c r="H1098" s="131">
        <f t="shared" si="244"/>
        <v>99.999986833692262</v>
      </c>
    </row>
    <row r="1099" spans="1:11" ht="31.5" x14ac:dyDescent="0.2">
      <c r="A1099" s="145" t="s">
        <v>17</v>
      </c>
      <c r="B1099" s="141" t="s">
        <v>1046</v>
      </c>
      <c r="C1099" s="141" t="s">
        <v>994</v>
      </c>
      <c r="D1099" s="146" t="s">
        <v>758</v>
      </c>
      <c r="E1099" s="219">
        <v>240</v>
      </c>
      <c r="F1099" s="160">
        <f>F1100</f>
        <v>3645.6689999999999</v>
      </c>
      <c r="G1099" s="160">
        <f t="shared" si="259"/>
        <v>3645.6685200000002</v>
      </c>
      <c r="H1099" s="131">
        <f t="shared" si="244"/>
        <v>99.999986833692262</v>
      </c>
    </row>
    <row r="1100" spans="1:11" s="82" customFormat="1" ht="18.75" hidden="1" x14ac:dyDescent="0.2">
      <c r="A1100" s="3" t="s">
        <v>548</v>
      </c>
      <c r="B1100" s="2" t="s">
        <v>1046</v>
      </c>
      <c r="C1100" s="2" t="s">
        <v>994</v>
      </c>
      <c r="D1100" s="4" t="s">
        <v>758</v>
      </c>
      <c r="E1100" s="49">
        <v>244</v>
      </c>
      <c r="F1100" s="62">
        <f>10000-2000-3667-687.331</f>
        <v>3645.6689999999999</v>
      </c>
      <c r="G1100" s="62">
        <v>3645.6685200000002</v>
      </c>
      <c r="H1100" s="97">
        <f t="shared" si="244"/>
        <v>99.999986833692262</v>
      </c>
    </row>
    <row r="1101" spans="1:11" ht="18.75" x14ac:dyDescent="0.2">
      <c r="A1101" s="132" t="s">
        <v>1011</v>
      </c>
      <c r="B1101" s="133" t="s">
        <v>1046</v>
      </c>
      <c r="C1101" s="133" t="s">
        <v>994</v>
      </c>
      <c r="D1101" s="133" t="s">
        <v>161</v>
      </c>
      <c r="E1101" s="133"/>
      <c r="F1101" s="134">
        <f>F1102+F1110</f>
        <v>21156.565999999999</v>
      </c>
      <c r="G1101" s="134">
        <f>G1102+G1110</f>
        <v>21146.681949999998</v>
      </c>
      <c r="H1101" s="131">
        <f t="shared" si="244"/>
        <v>99.953281406821887</v>
      </c>
      <c r="K1101" s="96">
        <f>21146.68195-G1101</f>
        <v>0</v>
      </c>
    </row>
    <row r="1102" spans="1:11" ht="18.75" x14ac:dyDescent="0.2">
      <c r="A1102" s="145" t="s">
        <v>454</v>
      </c>
      <c r="B1102" s="141" t="s">
        <v>1046</v>
      </c>
      <c r="C1102" s="141" t="s">
        <v>994</v>
      </c>
      <c r="D1102" s="141" t="s">
        <v>176</v>
      </c>
      <c r="E1102" s="171"/>
      <c r="F1102" s="147">
        <f t="shared" ref="F1102:G1102" si="260">F1103</f>
        <v>20828.565999999999</v>
      </c>
      <c r="G1102" s="147">
        <f t="shared" si="260"/>
        <v>20818.681949999998</v>
      </c>
      <c r="H1102" s="131">
        <f t="shared" si="244"/>
        <v>99.952545700937833</v>
      </c>
    </row>
    <row r="1103" spans="1:11" ht="18.75" x14ac:dyDescent="0.2">
      <c r="A1103" s="140" t="s">
        <v>455</v>
      </c>
      <c r="B1103" s="148" t="s">
        <v>1046</v>
      </c>
      <c r="C1103" s="148" t="s">
        <v>994</v>
      </c>
      <c r="D1103" s="148" t="s">
        <v>463</v>
      </c>
      <c r="E1103" s="148"/>
      <c r="F1103" s="144">
        <f>F1107+F1104</f>
        <v>20828.565999999999</v>
      </c>
      <c r="G1103" s="144">
        <f t="shared" ref="G1103" si="261">G1107+G1104</f>
        <v>20818.681949999998</v>
      </c>
      <c r="H1103" s="131">
        <f t="shared" si="244"/>
        <v>99.952545700937833</v>
      </c>
    </row>
    <row r="1104" spans="1:11" ht="18.75" x14ac:dyDescent="0.2">
      <c r="A1104" s="145" t="s">
        <v>871</v>
      </c>
      <c r="B1104" s="141" t="s">
        <v>1046</v>
      </c>
      <c r="C1104" s="141" t="s">
        <v>994</v>
      </c>
      <c r="D1104" s="141" t="s">
        <v>463</v>
      </c>
      <c r="E1104" s="141" t="s">
        <v>15</v>
      </c>
      <c r="F1104" s="147">
        <f>F1105</f>
        <v>18647.5</v>
      </c>
      <c r="G1104" s="147">
        <f t="shared" ref="G1104:G1105" si="262">G1105</f>
        <v>18643.33728</v>
      </c>
      <c r="H1104" s="131">
        <f t="shared" si="244"/>
        <v>99.977676793135799</v>
      </c>
    </row>
    <row r="1105" spans="1:11" ht="31.5" x14ac:dyDescent="0.2">
      <c r="A1105" s="145" t="s">
        <v>17</v>
      </c>
      <c r="B1105" s="141" t="s">
        <v>1046</v>
      </c>
      <c r="C1105" s="141" t="s">
        <v>994</v>
      </c>
      <c r="D1105" s="141" t="s">
        <v>463</v>
      </c>
      <c r="E1105" s="141" t="s">
        <v>16</v>
      </c>
      <c r="F1105" s="147">
        <f>F1106</f>
        <v>18647.5</v>
      </c>
      <c r="G1105" s="147">
        <f t="shared" si="262"/>
        <v>18643.33728</v>
      </c>
      <c r="H1105" s="131">
        <f t="shared" si="244"/>
        <v>99.977676793135799</v>
      </c>
    </row>
    <row r="1106" spans="1:11" s="82" customFormat="1" ht="18.75" hidden="1" x14ac:dyDescent="0.2">
      <c r="A1106" s="3" t="s">
        <v>548</v>
      </c>
      <c r="B1106" s="2" t="s">
        <v>1046</v>
      </c>
      <c r="C1106" s="2" t="s">
        <v>994</v>
      </c>
      <c r="D1106" s="2" t="s">
        <v>463</v>
      </c>
      <c r="E1106" s="2" t="s">
        <v>67</v>
      </c>
      <c r="F1106" s="10">
        <f>1747.5+1122+13105+1315+1359-1</f>
        <v>18647.5</v>
      </c>
      <c r="G1106" s="10">
        <v>18643.33728</v>
      </c>
      <c r="H1106" s="97">
        <f t="shared" si="244"/>
        <v>99.977676793135799</v>
      </c>
    </row>
    <row r="1107" spans="1:11" ht="18.75" x14ac:dyDescent="0.2">
      <c r="A1107" s="145" t="s">
        <v>13</v>
      </c>
      <c r="B1107" s="141" t="s">
        <v>1046</v>
      </c>
      <c r="C1107" s="141" t="s">
        <v>994</v>
      </c>
      <c r="D1107" s="141" t="s">
        <v>463</v>
      </c>
      <c r="E1107" s="141" t="s">
        <v>14</v>
      </c>
      <c r="F1107" s="147">
        <f t="shared" ref="F1107:G1108" si="263">F1108</f>
        <v>2181.0659999999998</v>
      </c>
      <c r="G1107" s="147">
        <f t="shared" si="263"/>
        <v>2175.34467</v>
      </c>
      <c r="H1107" s="131">
        <f t="shared" si="244"/>
        <v>99.737681940849114</v>
      </c>
    </row>
    <row r="1108" spans="1:11" ht="18.75" x14ac:dyDescent="0.2">
      <c r="A1108" s="145" t="s">
        <v>456</v>
      </c>
      <c r="B1108" s="141" t="s">
        <v>1046</v>
      </c>
      <c r="C1108" s="141" t="s">
        <v>994</v>
      </c>
      <c r="D1108" s="141" t="s">
        <v>463</v>
      </c>
      <c r="E1108" s="141" t="s">
        <v>457</v>
      </c>
      <c r="F1108" s="147">
        <f t="shared" si="263"/>
        <v>2181.0659999999998</v>
      </c>
      <c r="G1108" s="147">
        <f t="shared" si="263"/>
        <v>2175.34467</v>
      </c>
      <c r="H1108" s="131">
        <f t="shared" si="244"/>
        <v>99.737681940849114</v>
      </c>
    </row>
    <row r="1109" spans="1:11" s="82" customFormat="1" ht="18.75" hidden="1" x14ac:dyDescent="0.2">
      <c r="A1109" s="3" t="s">
        <v>1007</v>
      </c>
      <c r="B1109" s="2" t="s">
        <v>1046</v>
      </c>
      <c r="C1109" s="2" t="s">
        <v>994</v>
      </c>
      <c r="D1109" s="2" t="s">
        <v>463</v>
      </c>
      <c r="E1109" s="2" t="s">
        <v>458</v>
      </c>
      <c r="F1109" s="62">
        <f>1045+187+89+207+153.266+14.5+0.3+221+15+88+161</f>
        <v>2181.0659999999998</v>
      </c>
      <c r="G1109" s="62">
        <v>2175.34467</v>
      </c>
      <c r="H1109" s="97">
        <f t="shared" si="244"/>
        <v>99.737681940849114</v>
      </c>
    </row>
    <row r="1110" spans="1:11" ht="18.75" x14ac:dyDescent="0.2">
      <c r="A1110" s="140" t="s">
        <v>924</v>
      </c>
      <c r="B1110" s="141" t="s">
        <v>1046</v>
      </c>
      <c r="C1110" s="141" t="s">
        <v>994</v>
      </c>
      <c r="D1110" s="148" t="s">
        <v>921</v>
      </c>
      <c r="E1110" s="148"/>
      <c r="F1110" s="144">
        <f>F1111</f>
        <v>328</v>
      </c>
      <c r="G1110" s="144">
        <f t="shared" ref="G1110" si="264">G1111</f>
        <v>328</v>
      </c>
      <c r="H1110" s="131">
        <f t="shared" ref="H1110:H1167" si="265">G1110/F1110*100</f>
        <v>100</v>
      </c>
    </row>
    <row r="1111" spans="1:11" ht="18.75" x14ac:dyDescent="0.2">
      <c r="A1111" s="145" t="s">
        <v>13</v>
      </c>
      <c r="B1111" s="141" t="s">
        <v>1046</v>
      </c>
      <c r="C1111" s="141" t="s">
        <v>994</v>
      </c>
      <c r="D1111" s="141" t="s">
        <v>921</v>
      </c>
      <c r="E1111" s="141" t="s">
        <v>14</v>
      </c>
      <c r="F1111" s="147">
        <f t="shared" ref="F1111:G1112" si="266">F1112</f>
        <v>328</v>
      </c>
      <c r="G1111" s="147">
        <f t="shared" si="266"/>
        <v>328</v>
      </c>
      <c r="H1111" s="131">
        <f t="shared" si="265"/>
        <v>100</v>
      </c>
    </row>
    <row r="1112" spans="1:11" ht="18.75" x14ac:dyDescent="0.2">
      <c r="A1112" s="145" t="s">
        <v>32</v>
      </c>
      <c r="B1112" s="141" t="s">
        <v>1046</v>
      </c>
      <c r="C1112" s="141" t="s">
        <v>994</v>
      </c>
      <c r="D1112" s="141" t="s">
        <v>921</v>
      </c>
      <c r="E1112" s="141" t="s">
        <v>31</v>
      </c>
      <c r="F1112" s="147">
        <f t="shared" si="266"/>
        <v>328</v>
      </c>
      <c r="G1112" s="147">
        <f t="shared" si="266"/>
        <v>328</v>
      </c>
      <c r="H1112" s="131">
        <f t="shared" si="265"/>
        <v>100</v>
      </c>
    </row>
    <row r="1113" spans="1:11" s="82" customFormat="1" ht="18.75" hidden="1" x14ac:dyDescent="0.2">
      <c r="A1113" s="3" t="s">
        <v>308</v>
      </c>
      <c r="B1113" s="2" t="s">
        <v>1046</v>
      </c>
      <c r="C1113" s="2" t="s">
        <v>994</v>
      </c>
      <c r="D1113" s="2" t="s">
        <v>921</v>
      </c>
      <c r="E1113" s="2" t="s">
        <v>307</v>
      </c>
      <c r="F1113" s="62">
        <f>143+185</f>
        <v>328</v>
      </c>
      <c r="G1113" s="62">
        <v>328</v>
      </c>
      <c r="H1113" s="97">
        <f t="shared" si="265"/>
        <v>100</v>
      </c>
    </row>
    <row r="1114" spans="1:11" ht="18.75" x14ac:dyDescent="0.2">
      <c r="A1114" s="132" t="s">
        <v>1051</v>
      </c>
      <c r="B1114" s="133" t="s">
        <v>1046</v>
      </c>
      <c r="C1114" s="133" t="s">
        <v>1046</v>
      </c>
      <c r="D1114" s="133"/>
      <c r="E1114" s="133"/>
      <c r="F1114" s="134">
        <f>F1122+F1138+F1115</f>
        <v>195919</v>
      </c>
      <c r="G1114" s="134">
        <f t="shared" ref="G1114" si="267">G1122+G1138+G1115</f>
        <v>194266.89853999999</v>
      </c>
      <c r="H1114" s="131">
        <f t="shared" si="265"/>
        <v>99.15674260281034</v>
      </c>
      <c r="K1114" s="96">
        <f>194266.89854-G1114</f>
        <v>0</v>
      </c>
    </row>
    <row r="1115" spans="1:11" ht="31.5" x14ac:dyDescent="0.2">
      <c r="A1115" s="132" t="s">
        <v>991</v>
      </c>
      <c r="B1115" s="133" t="s">
        <v>1046</v>
      </c>
      <c r="C1115" s="133" t="s">
        <v>1046</v>
      </c>
      <c r="D1115" s="161" t="s">
        <v>156</v>
      </c>
      <c r="E1115" s="133"/>
      <c r="F1115" s="134">
        <f t="shared" ref="F1115:G1120" si="268">F1116</f>
        <v>27933</v>
      </c>
      <c r="G1115" s="134">
        <f t="shared" si="268"/>
        <v>27932.544900000001</v>
      </c>
      <c r="H1115" s="131">
        <f t="shared" si="265"/>
        <v>99.998370744280962</v>
      </c>
    </row>
    <row r="1116" spans="1:11" ht="31.5" x14ac:dyDescent="0.25">
      <c r="A1116" s="163" t="s">
        <v>863</v>
      </c>
      <c r="B1116" s="133" t="s">
        <v>1046</v>
      </c>
      <c r="C1116" s="133" t="s">
        <v>1046</v>
      </c>
      <c r="D1116" s="133" t="s">
        <v>864</v>
      </c>
      <c r="E1116" s="133"/>
      <c r="F1116" s="134">
        <f t="shared" si="268"/>
        <v>27933</v>
      </c>
      <c r="G1116" s="134">
        <f t="shared" si="268"/>
        <v>27932.544900000001</v>
      </c>
      <c r="H1116" s="131">
        <f t="shared" si="265"/>
        <v>99.998370744280962</v>
      </c>
    </row>
    <row r="1117" spans="1:11" ht="18.75" x14ac:dyDescent="0.2">
      <c r="A1117" s="135" t="s">
        <v>349</v>
      </c>
      <c r="B1117" s="141" t="s">
        <v>1046</v>
      </c>
      <c r="C1117" s="141" t="s">
        <v>1046</v>
      </c>
      <c r="D1117" s="137" t="s">
        <v>350</v>
      </c>
      <c r="E1117" s="133"/>
      <c r="F1117" s="134">
        <f t="shared" si="268"/>
        <v>27933</v>
      </c>
      <c r="G1117" s="134">
        <f t="shared" si="268"/>
        <v>27932.544900000001</v>
      </c>
      <c r="H1117" s="131">
        <f t="shared" si="265"/>
        <v>99.998370744280962</v>
      </c>
    </row>
    <row r="1118" spans="1:11" ht="18.75" x14ac:dyDescent="0.2">
      <c r="A1118" s="140" t="s">
        <v>866</v>
      </c>
      <c r="B1118" s="148" t="s">
        <v>1046</v>
      </c>
      <c r="C1118" s="148" t="s">
        <v>1046</v>
      </c>
      <c r="D1118" s="148" t="s">
        <v>865</v>
      </c>
      <c r="E1118" s="148"/>
      <c r="F1118" s="144">
        <f t="shared" si="268"/>
        <v>27933</v>
      </c>
      <c r="G1118" s="144">
        <f t="shared" si="268"/>
        <v>27932.544900000001</v>
      </c>
      <c r="H1118" s="131">
        <f t="shared" si="265"/>
        <v>99.998370744280962</v>
      </c>
    </row>
    <row r="1119" spans="1:11" ht="31.5" x14ac:dyDescent="0.2">
      <c r="A1119" s="145" t="s">
        <v>18</v>
      </c>
      <c r="B1119" s="141" t="s">
        <v>1046</v>
      </c>
      <c r="C1119" s="141" t="s">
        <v>1046</v>
      </c>
      <c r="D1119" s="141" t="s">
        <v>865</v>
      </c>
      <c r="E1119" s="141" t="s">
        <v>20</v>
      </c>
      <c r="F1119" s="147">
        <f t="shared" si="268"/>
        <v>27933</v>
      </c>
      <c r="G1119" s="147">
        <f t="shared" si="268"/>
        <v>27932.544900000001</v>
      </c>
      <c r="H1119" s="131">
        <f t="shared" si="265"/>
        <v>99.998370744280962</v>
      </c>
    </row>
    <row r="1120" spans="1:11" ht="18.75" x14ac:dyDescent="0.2">
      <c r="A1120" s="145" t="s">
        <v>24</v>
      </c>
      <c r="B1120" s="141" t="s">
        <v>1046</v>
      </c>
      <c r="C1120" s="141" t="s">
        <v>1046</v>
      </c>
      <c r="D1120" s="141" t="s">
        <v>865</v>
      </c>
      <c r="E1120" s="141" t="s">
        <v>25</v>
      </c>
      <c r="F1120" s="147">
        <f t="shared" si="268"/>
        <v>27933</v>
      </c>
      <c r="G1120" s="147">
        <f t="shared" si="268"/>
        <v>27932.544900000001</v>
      </c>
      <c r="H1120" s="131">
        <f t="shared" si="265"/>
        <v>99.998370744280962</v>
      </c>
    </row>
    <row r="1121" spans="1:8" s="82" customFormat="1" ht="18.75" hidden="1" x14ac:dyDescent="0.2">
      <c r="A1121" s="3" t="s">
        <v>72</v>
      </c>
      <c r="B1121" s="2" t="s">
        <v>1046</v>
      </c>
      <c r="C1121" s="2" t="s">
        <v>1046</v>
      </c>
      <c r="D1121" s="2" t="s">
        <v>865</v>
      </c>
      <c r="E1121" s="2" t="s">
        <v>73</v>
      </c>
      <c r="F1121" s="10">
        <f>792+562+9562+17017</f>
        <v>27933</v>
      </c>
      <c r="G1121" s="10">
        <v>27932.544900000001</v>
      </c>
      <c r="H1121" s="97">
        <f t="shared" si="265"/>
        <v>99.998370744280962</v>
      </c>
    </row>
    <row r="1122" spans="1:8" ht="31.5" x14ac:dyDescent="0.2">
      <c r="A1122" s="132" t="s">
        <v>1050</v>
      </c>
      <c r="B1122" s="133" t="s">
        <v>1046</v>
      </c>
      <c r="C1122" s="133" t="s">
        <v>1046</v>
      </c>
      <c r="D1122" s="133" t="s">
        <v>340</v>
      </c>
      <c r="E1122" s="133"/>
      <c r="F1122" s="134">
        <f t="shared" ref="F1122:G1123" si="269">F1123</f>
        <v>43306</v>
      </c>
      <c r="G1122" s="134">
        <f t="shared" si="269"/>
        <v>42492.453179999997</v>
      </c>
      <c r="H1122" s="131">
        <f t="shared" si="265"/>
        <v>98.121399298018744</v>
      </c>
    </row>
    <row r="1123" spans="1:8" ht="18.75" x14ac:dyDescent="0.2">
      <c r="A1123" s="132" t="s">
        <v>524</v>
      </c>
      <c r="B1123" s="185" t="s">
        <v>1046</v>
      </c>
      <c r="C1123" s="185" t="s">
        <v>1046</v>
      </c>
      <c r="D1123" s="139" t="s">
        <v>438</v>
      </c>
      <c r="E1123" s="161"/>
      <c r="F1123" s="134">
        <f t="shared" si="269"/>
        <v>43306</v>
      </c>
      <c r="G1123" s="134">
        <f t="shared" si="269"/>
        <v>42492.453179999997</v>
      </c>
      <c r="H1123" s="131">
        <f t="shared" si="265"/>
        <v>98.121399298018744</v>
      </c>
    </row>
    <row r="1124" spans="1:8" ht="18.75" x14ac:dyDescent="0.2">
      <c r="A1124" s="140" t="s">
        <v>296</v>
      </c>
      <c r="B1124" s="209" t="s">
        <v>1046</v>
      </c>
      <c r="C1124" s="209" t="s">
        <v>1046</v>
      </c>
      <c r="D1124" s="148" t="s">
        <v>442</v>
      </c>
      <c r="E1124" s="148"/>
      <c r="F1124" s="144">
        <f>F1125+F1130+F1134</f>
        <v>43306</v>
      </c>
      <c r="G1124" s="144">
        <f>G1125+G1130+G1134</f>
        <v>42492.453179999997</v>
      </c>
      <c r="H1124" s="131">
        <f t="shared" si="265"/>
        <v>98.121399298018744</v>
      </c>
    </row>
    <row r="1125" spans="1:8" ht="47.25" x14ac:dyDescent="0.2">
      <c r="A1125" s="145" t="s">
        <v>27</v>
      </c>
      <c r="B1125" s="210" t="s">
        <v>1046</v>
      </c>
      <c r="C1125" s="210" t="s">
        <v>1046</v>
      </c>
      <c r="D1125" s="141" t="s">
        <v>442</v>
      </c>
      <c r="E1125" s="141" t="s">
        <v>28</v>
      </c>
      <c r="F1125" s="147">
        <f>SUM(F1126)</f>
        <v>41273</v>
      </c>
      <c r="G1125" s="147">
        <f>SUM(G1126)</f>
        <v>40983.467920000003</v>
      </c>
      <c r="H1125" s="131">
        <f t="shared" si="265"/>
        <v>99.298495190560416</v>
      </c>
    </row>
    <row r="1126" spans="1:8" ht="18.75" x14ac:dyDescent="0.2">
      <c r="A1126" s="145" t="s">
        <v>30</v>
      </c>
      <c r="B1126" s="210" t="s">
        <v>1046</v>
      </c>
      <c r="C1126" s="210" t="s">
        <v>1046</v>
      </c>
      <c r="D1126" s="141" t="s">
        <v>442</v>
      </c>
      <c r="E1126" s="141" t="s">
        <v>29</v>
      </c>
      <c r="F1126" s="147">
        <f>SUM(F1127:F1129)</f>
        <v>41273</v>
      </c>
      <c r="G1126" s="147">
        <f>SUM(G1127:G1129)</f>
        <v>40983.467920000003</v>
      </c>
      <c r="H1126" s="131">
        <f t="shared" si="265"/>
        <v>99.298495190560416</v>
      </c>
    </row>
    <row r="1127" spans="1:8" s="82" customFormat="1" ht="18.75" hidden="1" x14ac:dyDescent="0.2">
      <c r="A1127" s="3" t="s">
        <v>223</v>
      </c>
      <c r="B1127" s="45" t="s">
        <v>1046</v>
      </c>
      <c r="C1127" s="45" t="s">
        <v>1046</v>
      </c>
      <c r="D1127" s="2" t="s">
        <v>442</v>
      </c>
      <c r="E1127" s="2" t="s">
        <v>77</v>
      </c>
      <c r="F1127" s="10">
        <f>27441+1012+541</f>
        <v>28994</v>
      </c>
      <c r="G1127" s="10">
        <v>28918.4107</v>
      </c>
      <c r="H1127" s="97">
        <f t="shared" si="265"/>
        <v>99.739293302062492</v>
      </c>
    </row>
    <row r="1128" spans="1:8" s="82" customFormat="1" ht="31.5" hidden="1" x14ac:dyDescent="0.2">
      <c r="A1128" s="3" t="s">
        <v>79</v>
      </c>
      <c r="B1128" s="45" t="s">
        <v>1046</v>
      </c>
      <c r="C1128" s="45" t="s">
        <v>1046</v>
      </c>
      <c r="D1128" s="2" t="s">
        <v>442</v>
      </c>
      <c r="E1128" s="2" t="s">
        <v>78</v>
      </c>
      <c r="F1128" s="10">
        <f>2160+216+22+282</f>
        <v>2680</v>
      </c>
      <c r="G1128" s="10">
        <v>2574.9876899999999</v>
      </c>
      <c r="H1128" s="97">
        <f t="shared" si="265"/>
        <v>96.081630223880595</v>
      </c>
    </row>
    <row r="1129" spans="1:8" s="82" customFormat="1" ht="31.5" hidden="1" x14ac:dyDescent="0.2">
      <c r="A1129" s="3" t="s">
        <v>137</v>
      </c>
      <c r="B1129" s="45" t="s">
        <v>1046</v>
      </c>
      <c r="C1129" s="45" t="s">
        <v>1046</v>
      </c>
      <c r="D1129" s="2" t="s">
        <v>442</v>
      </c>
      <c r="E1129" s="2" t="s">
        <v>136</v>
      </c>
      <c r="F1129" s="10">
        <f>8940+371+288</f>
        <v>9599</v>
      </c>
      <c r="G1129" s="10">
        <v>9490.0695300000007</v>
      </c>
      <c r="H1129" s="97">
        <f t="shared" si="265"/>
        <v>98.865189394728631</v>
      </c>
    </row>
    <row r="1130" spans="1:8" ht="18.75" x14ac:dyDescent="0.2">
      <c r="A1130" s="145" t="s">
        <v>871</v>
      </c>
      <c r="B1130" s="210" t="s">
        <v>1046</v>
      </c>
      <c r="C1130" s="210" t="s">
        <v>1046</v>
      </c>
      <c r="D1130" s="141" t="s">
        <v>442</v>
      </c>
      <c r="E1130" s="141" t="s">
        <v>15</v>
      </c>
      <c r="F1130" s="147">
        <f>F1131</f>
        <v>1433</v>
      </c>
      <c r="G1130" s="147">
        <f>G1131</f>
        <v>1156.17526</v>
      </c>
      <c r="H1130" s="131">
        <f t="shared" si="265"/>
        <v>80.68215352407536</v>
      </c>
    </row>
    <row r="1131" spans="1:8" ht="31.5" x14ac:dyDescent="0.2">
      <c r="A1131" s="145" t="s">
        <v>17</v>
      </c>
      <c r="B1131" s="210" t="s">
        <v>1046</v>
      </c>
      <c r="C1131" s="210" t="s">
        <v>1046</v>
      </c>
      <c r="D1131" s="141" t="s">
        <v>442</v>
      </c>
      <c r="E1131" s="141" t="s">
        <v>16</v>
      </c>
      <c r="F1131" s="147">
        <f>F1132+F1133</f>
        <v>1433</v>
      </c>
      <c r="G1131" s="147">
        <f>G1132+G1133</f>
        <v>1156.17526</v>
      </c>
      <c r="H1131" s="131">
        <f t="shared" si="265"/>
        <v>80.68215352407536</v>
      </c>
    </row>
    <row r="1132" spans="1:8" s="82" customFormat="1" ht="31.5" hidden="1" x14ac:dyDescent="0.2">
      <c r="A1132" s="28" t="s">
        <v>389</v>
      </c>
      <c r="B1132" s="2" t="s">
        <v>1046</v>
      </c>
      <c r="C1132" s="2" t="s">
        <v>1046</v>
      </c>
      <c r="D1132" s="2" t="s">
        <v>442</v>
      </c>
      <c r="E1132" s="2" t="s">
        <v>368</v>
      </c>
      <c r="F1132" s="10">
        <f>1071-82-310</f>
        <v>679</v>
      </c>
      <c r="G1132" s="10">
        <v>604.60361</v>
      </c>
      <c r="H1132" s="97">
        <f t="shared" si="265"/>
        <v>89.043241531664208</v>
      </c>
    </row>
    <row r="1133" spans="1:8" s="82" customFormat="1" ht="18.75" hidden="1" x14ac:dyDescent="0.2">
      <c r="A1133" s="3" t="s">
        <v>548</v>
      </c>
      <c r="B1133" s="2" t="s">
        <v>1046</v>
      </c>
      <c r="C1133" s="2" t="s">
        <v>1046</v>
      </c>
      <c r="D1133" s="4" t="s">
        <v>442</v>
      </c>
      <c r="E1133" s="2" t="s">
        <v>67</v>
      </c>
      <c r="F1133" s="10">
        <f>1044-290</f>
        <v>754</v>
      </c>
      <c r="G1133" s="10">
        <v>551.57164999999998</v>
      </c>
      <c r="H1133" s="97">
        <f t="shared" si="265"/>
        <v>73.152738726790446</v>
      </c>
    </row>
    <row r="1134" spans="1:8" ht="18.75" x14ac:dyDescent="0.2">
      <c r="A1134" s="157" t="s">
        <v>13</v>
      </c>
      <c r="B1134" s="210" t="s">
        <v>1046</v>
      </c>
      <c r="C1134" s="210" t="s">
        <v>1046</v>
      </c>
      <c r="D1134" s="141" t="s">
        <v>442</v>
      </c>
      <c r="E1134" s="141" t="s">
        <v>14</v>
      </c>
      <c r="F1134" s="147">
        <f>F1135</f>
        <v>600</v>
      </c>
      <c r="G1134" s="147">
        <f>G1135</f>
        <v>352.81</v>
      </c>
      <c r="H1134" s="131">
        <f t="shared" si="265"/>
        <v>58.801666666666662</v>
      </c>
    </row>
    <row r="1135" spans="1:8" ht="18.75" x14ac:dyDescent="0.2">
      <c r="A1135" s="145" t="s">
        <v>32</v>
      </c>
      <c r="B1135" s="210" t="s">
        <v>1046</v>
      </c>
      <c r="C1135" s="210" t="s">
        <v>1046</v>
      </c>
      <c r="D1135" s="141" t="s">
        <v>442</v>
      </c>
      <c r="E1135" s="141" t="s">
        <v>31</v>
      </c>
      <c r="F1135" s="147">
        <f>SUM(F1136:F1137)</f>
        <v>600</v>
      </c>
      <c r="G1135" s="147">
        <f>SUM(G1136:G1137)</f>
        <v>352.81</v>
      </c>
      <c r="H1135" s="131">
        <f t="shared" si="265"/>
        <v>58.801666666666662</v>
      </c>
    </row>
    <row r="1136" spans="1:8" s="82" customFormat="1" ht="18.75" hidden="1" x14ac:dyDescent="0.2">
      <c r="A1136" s="3" t="s">
        <v>68</v>
      </c>
      <c r="B1136" s="2" t="s">
        <v>1046</v>
      </c>
      <c r="C1136" s="2" t="s">
        <v>1046</v>
      </c>
      <c r="D1136" s="2" t="s">
        <v>442</v>
      </c>
      <c r="E1136" s="2" t="s">
        <v>69</v>
      </c>
      <c r="F1136" s="10">
        <v>598</v>
      </c>
      <c r="G1136" s="10">
        <v>350.81</v>
      </c>
      <c r="H1136" s="97">
        <f t="shared" si="265"/>
        <v>58.663879598662206</v>
      </c>
    </row>
    <row r="1137" spans="1:8" s="82" customFormat="1" ht="18.75" hidden="1" x14ac:dyDescent="0.2">
      <c r="A1137" s="3" t="s">
        <v>70</v>
      </c>
      <c r="B1137" s="2" t="s">
        <v>1046</v>
      </c>
      <c r="C1137" s="2" t="s">
        <v>1046</v>
      </c>
      <c r="D1137" s="2" t="s">
        <v>442</v>
      </c>
      <c r="E1137" s="2" t="s">
        <v>71</v>
      </c>
      <c r="F1137" s="10">
        <v>2</v>
      </c>
      <c r="G1137" s="10">
        <v>2</v>
      </c>
      <c r="H1137" s="97">
        <f t="shared" si="265"/>
        <v>100</v>
      </c>
    </row>
    <row r="1138" spans="1:8" ht="31.5" x14ac:dyDescent="0.2">
      <c r="A1138" s="132" t="s">
        <v>1006</v>
      </c>
      <c r="B1138" s="133" t="s">
        <v>1046</v>
      </c>
      <c r="C1138" s="133" t="s">
        <v>1046</v>
      </c>
      <c r="D1138" s="133" t="s">
        <v>585</v>
      </c>
      <c r="E1138" s="133"/>
      <c r="F1138" s="134">
        <f>F1139</f>
        <v>124680</v>
      </c>
      <c r="G1138" s="134">
        <f t="shared" ref="G1138:G1140" si="270">G1139</f>
        <v>123841.90045999998</v>
      </c>
      <c r="H1138" s="131">
        <f t="shared" si="265"/>
        <v>99.327799534809088</v>
      </c>
    </row>
    <row r="1139" spans="1:8" ht="18.75" x14ac:dyDescent="0.2">
      <c r="A1139" s="135" t="s">
        <v>715</v>
      </c>
      <c r="B1139" s="136" t="s">
        <v>1046</v>
      </c>
      <c r="C1139" s="136" t="s">
        <v>1046</v>
      </c>
      <c r="D1139" s="137" t="s">
        <v>716</v>
      </c>
      <c r="E1139" s="136"/>
      <c r="F1139" s="138">
        <f>F1140</f>
        <v>124680</v>
      </c>
      <c r="G1139" s="138">
        <f t="shared" si="270"/>
        <v>123841.90045999998</v>
      </c>
      <c r="H1139" s="131">
        <f t="shared" si="265"/>
        <v>99.327799534809088</v>
      </c>
    </row>
    <row r="1140" spans="1:8" ht="18.75" x14ac:dyDescent="0.2">
      <c r="A1140" s="132" t="s">
        <v>600</v>
      </c>
      <c r="B1140" s="133" t="s">
        <v>1046</v>
      </c>
      <c r="C1140" s="133" t="s">
        <v>1046</v>
      </c>
      <c r="D1140" s="133" t="s">
        <v>722</v>
      </c>
      <c r="E1140" s="133"/>
      <c r="F1140" s="203">
        <f>F1141</f>
        <v>124680</v>
      </c>
      <c r="G1140" s="203">
        <f t="shared" si="270"/>
        <v>123841.90045999998</v>
      </c>
      <c r="H1140" s="131">
        <f t="shared" si="265"/>
        <v>99.327799534809088</v>
      </c>
    </row>
    <row r="1141" spans="1:8" ht="18.75" x14ac:dyDescent="0.2">
      <c r="A1141" s="140" t="s">
        <v>467</v>
      </c>
      <c r="B1141" s="148" t="s">
        <v>1046</v>
      </c>
      <c r="C1141" s="148" t="s">
        <v>1046</v>
      </c>
      <c r="D1141" s="148" t="s">
        <v>725</v>
      </c>
      <c r="E1141" s="171"/>
      <c r="F1141" s="183">
        <f>F1142+F1147+F1151</f>
        <v>124680</v>
      </c>
      <c r="G1141" s="183">
        <f t="shared" ref="G1141" si="271">G1142+G1147+G1151</f>
        <v>123841.90045999998</v>
      </c>
      <c r="H1141" s="131">
        <f t="shared" si="265"/>
        <v>99.327799534809088</v>
      </c>
    </row>
    <row r="1142" spans="1:8" ht="47.25" x14ac:dyDescent="0.2">
      <c r="A1142" s="145" t="s">
        <v>27</v>
      </c>
      <c r="B1142" s="141" t="s">
        <v>1046</v>
      </c>
      <c r="C1142" s="141" t="s">
        <v>1046</v>
      </c>
      <c r="D1142" s="141" t="s">
        <v>725</v>
      </c>
      <c r="E1142" s="141" t="s">
        <v>28</v>
      </c>
      <c r="F1142" s="160">
        <f>F1143</f>
        <v>121816</v>
      </c>
      <c r="G1142" s="160">
        <f t="shared" ref="G1142" si="272">G1143</f>
        <v>121048.40547999999</v>
      </c>
      <c r="H1142" s="131">
        <f t="shared" si="265"/>
        <v>99.369873809680172</v>
      </c>
    </row>
    <row r="1143" spans="1:8" ht="18.75" x14ac:dyDescent="0.2">
      <c r="A1143" s="145" t="s">
        <v>30</v>
      </c>
      <c r="B1143" s="141" t="s">
        <v>1046</v>
      </c>
      <c r="C1143" s="141" t="s">
        <v>1046</v>
      </c>
      <c r="D1143" s="141" t="s">
        <v>725</v>
      </c>
      <c r="E1143" s="141" t="s">
        <v>29</v>
      </c>
      <c r="F1143" s="160">
        <f>F1144+F1145+F1146</f>
        <v>121816</v>
      </c>
      <c r="G1143" s="160">
        <f t="shared" ref="G1143" si="273">G1144+G1145+G1146</f>
        <v>121048.40547999999</v>
      </c>
      <c r="H1143" s="131">
        <f t="shared" si="265"/>
        <v>99.369873809680172</v>
      </c>
    </row>
    <row r="1144" spans="1:8" s="82" customFormat="1" ht="18.75" hidden="1" x14ac:dyDescent="0.2">
      <c r="A1144" s="3" t="s">
        <v>223</v>
      </c>
      <c r="B1144" s="2" t="s">
        <v>1046</v>
      </c>
      <c r="C1144" s="2" t="s">
        <v>1046</v>
      </c>
      <c r="D1144" s="2" t="s">
        <v>725</v>
      </c>
      <c r="E1144" s="2" t="s">
        <v>77</v>
      </c>
      <c r="F1144" s="62">
        <f>66704-666+6552+288+1831+518+3926</f>
        <v>79153</v>
      </c>
      <c r="G1144" s="62">
        <v>78757.094889999993</v>
      </c>
      <c r="H1144" s="97">
        <f t="shared" si="265"/>
        <v>99.499822988389568</v>
      </c>
    </row>
    <row r="1145" spans="1:8" s="82" customFormat="1" ht="31.5" hidden="1" x14ac:dyDescent="0.2">
      <c r="A1145" s="3" t="s">
        <v>79</v>
      </c>
      <c r="B1145" s="2" t="s">
        <v>1046</v>
      </c>
      <c r="C1145" s="2" t="s">
        <v>1046</v>
      </c>
      <c r="D1145" s="2" t="s">
        <v>725</v>
      </c>
      <c r="E1145" s="2" t="s">
        <v>78</v>
      </c>
      <c r="F1145" s="62">
        <f>14524+1452-1831-23</f>
        <v>14122</v>
      </c>
      <c r="G1145" s="62">
        <v>14134.423000000001</v>
      </c>
      <c r="H1145" s="97">
        <f t="shared" si="265"/>
        <v>100.0879691261861</v>
      </c>
    </row>
    <row r="1146" spans="1:8" s="82" customFormat="1" ht="31.5" hidden="1" x14ac:dyDescent="0.2">
      <c r="A1146" s="3" t="s">
        <v>137</v>
      </c>
      <c r="B1146" s="2" t="s">
        <v>1046</v>
      </c>
      <c r="C1146" s="2" t="s">
        <v>1046</v>
      </c>
      <c r="D1146" s="2" t="s">
        <v>725</v>
      </c>
      <c r="E1146" s="2" t="s">
        <v>136</v>
      </c>
      <c r="F1146" s="62">
        <f>24531-201+2417+87+842+865</f>
        <v>28541</v>
      </c>
      <c r="G1146" s="62">
        <v>28156.887589999998</v>
      </c>
      <c r="H1146" s="97">
        <f t="shared" si="265"/>
        <v>98.654173259521386</v>
      </c>
    </row>
    <row r="1147" spans="1:8" ht="18.75" x14ac:dyDescent="0.2">
      <c r="A1147" s="145" t="s">
        <v>871</v>
      </c>
      <c r="B1147" s="141" t="s">
        <v>1046</v>
      </c>
      <c r="C1147" s="141" t="s">
        <v>1046</v>
      </c>
      <c r="D1147" s="141" t="s">
        <v>725</v>
      </c>
      <c r="E1147" s="141" t="s">
        <v>15</v>
      </c>
      <c r="F1147" s="160">
        <f>F1148</f>
        <v>2844</v>
      </c>
      <c r="G1147" s="160">
        <f t="shared" ref="G1147" si="274">G1148</f>
        <v>2787.7649000000001</v>
      </c>
      <c r="H1147" s="131">
        <f t="shared" si="265"/>
        <v>98.022675808720123</v>
      </c>
    </row>
    <row r="1148" spans="1:8" ht="31.5" x14ac:dyDescent="0.2">
      <c r="A1148" s="145" t="s">
        <v>17</v>
      </c>
      <c r="B1148" s="141" t="s">
        <v>1046</v>
      </c>
      <c r="C1148" s="141" t="s">
        <v>1046</v>
      </c>
      <c r="D1148" s="141" t="s">
        <v>725</v>
      </c>
      <c r="E1148" s="141" t="s">
        <v>16</v>
      </c>
      <c r="F1148" s="160">
        <f>F1149+F1150</f>
        <v>2844</v>
      </c>
      <c r="G1148" s="160">
        <f t="shared" ref="G1148" si="275">G1149+G1150</f>
        <v>2787.7649000000001</v>
      </c>
      <c r="H1148" s="131">
        <f t="shared" si="265"/>
        <v>98.022675808720123</v>
      </c>
    </row>
    <row r="1149" spans="1:8" s="82" customFormat="1" ht="31.5" hidden="1" x14ac:dyDescent="0.2">
      <c r="A1149" s="28" t="s">
        <v>389</v>
      </c>
      <c r="B1149" s="2" t="s">
        <v>1046</v>
      </c>
      <c r="C1149" s="2" t="s">
        <v>1046</v>
      </c>
      <c r="D1149" s="2" t="s">
        <v>725</v>
      </c>
      <c r="E1149" s="2" t="s">
        <v>368</v>
      </c>
      <c r="F1149" s="62">
        <f>5111-285-1360-1270</f>
        <v>2196</v>
      </c>
      <c r="G1149" s="62">
        <v>2186.70966</v>
      </c>
      <c r="H1149" s="97">
        <f t="shared" si="265"/>
        <v>99.57694262295081</v>
      </c>
    </row>
    <row r="1150" spans="1:8" s="82" customFormat="1" ht="18.75" hidden="1" x14ac:dyDescent="0.2">
      <c r="A1150" s="3" t="s">
        <v>548</v>
      </c>
      <c r="B1150" s="2" t="s">
        <v>1046</v>
      </c>
      <c r="C1150" s="2" t="s">
        <v>1046</v>
      </c>
      <c r="D1150" s="2" t="s">
        <v>725</v>
      </c>
      <c r="E1150" s="2" t="s">
        <v>67</v>
      </c>
      <c r="F1150" s="62">
        <f>1448-800</f>
        <v>648</v>
      </c>
      <c r="G1150" s="62">
        <v>601.05524000000003</v>
      </c>
      <c r="H1150" s="97">
        <f t="shared" si="265"/>
        <v>92.755438271604945</v>
      </c>
    </row>
    <row r="1151" spans="1:8" ht="18.75" x14ac:dyDescent="0.2">
      <c r="A1151" s="157" t="s">
        <v>13</v>
      </c>
      <c r="B1151" s="141" t="s">
        <v>1046</v>
      </c>
      <c r="C1151" s="141" t="s">
        <v>1046</v>
      </c>
      <c r="D1151" s="141" t="s">
        <v>725</v>
      </c>
      <c r="E1151" s="141" t="s">
        <v>14</v>
      </c>
      <c r="F1151" s="160">
        <f>F1152</f>
        <v>20</v>
      </c>
      <c r="G1151" s="160">
        <f t="shared" ref="G1151" si="276">G1152</f>
        <v>5.7300800000000001</v>
      </c>
      <c r="H1151" s="131">
        <f t="shared" si="265"/>
        <v>28.650399999999998</v>
      </c>
    </row>
    <row r="1152" spans="1:8" ht="18.75" x14ac:dyDescent="0.2">
      <c r="A1152" s="145" t="s">
        <v>32</v>
      </c>
      <c r="B1152" s="141" t="s">
        <v>1046</v>
      </c>
      <c r="C1152" s="141" t="s">
        <v>1046</v>
      </c>
      <c r="D1152" s="141" t="s">
        <v>725</v>
      </c>
      <c r="E1152" s="141" t="s">
        <v>31</v>
      </c>
      <c r="F1152" s="160">
        <f>F1153</f>
        <v>20</v>
      </c>
      <c r="G1152" s="160">
        <f>G1153</f>
        <v>5.7300800000000001</v>
      </c>
      <c r="H1152" s="131">
        <f t="shared" si="265"/>
        <v>28.650399999999998</v>
      </c>
    </row>
    <row r="1153" spans="1:11" s="82" customFormat="1" ht="18.75" hidden="1" x14ac:dyDescent="0.2">
      <c r="A1153" s="3" t="s">
        <v>70</v>
      </c>
      <c r="B1153" s="2" t="s">
        <v>1046</v>
      </c>
      <c r="C1153" s="2" t="s">
        <v>1046</v>
      </c>
      <c r="D1153" s="2" t="s">
        <v>725</v>
      </c>
      <c r="E1153" s="2" t="s">
        <v>71</v>
      </c>
      <c r="F1153" s="62">
        <v>20</v>
      </c>
      <c r="G1153" s="62">
        <v>5.7300800000000001</v>
      </c>
      <c r="H1153" s="97">
        <f t="shared" si="265"/>
        <v>28.650399999999998</v>
      </c>
    </row>
    <row r="1154" spans="1:11" ht="18.75" x14ac:dyDescent="0.2">
      <c r="A1154" s="128" t="s">
        <v>1052</v>
      </c>
      <c r="B1154" s="129" t="s">
        <v>1009</v>
      </c>
      <c r="C1154" s="129"/>
      <c r="D1154" s="129"/>
      <c r="E1154" s="129"/>
      <c r="F1154" s="130">
        <f>F1155</f>
        <v>2175.75</v>
      </c>
      <c r="G1154" s="130">
        <f>G1155</f>
        <v>1861.25</v>
      </c>
      <c r="H1154" s="131">
        <f t="shared" si="265"/>
        <v>85.545214293921632</v>
      </c>
      <c r="K1154" s="96">
        <f>1861.25-G1154</f>
        <v>0</v>
      </c>
    </row>
    <row r="1155" spans="1:11" ht="18.75" x14ac:dyDescent="0.2">
      <c r="A1155" s="132" t="s">
        <v>1053</v>
      </c>
      <c r="B1155" s="133" t="s">
        <v>1009</v>
      </c>
      <c r="C1155" s="133" t="s">
        <v>1046</v>
      </c>
      <c r="D1155" s="133"/>
      <c r="E1155" s="133"/>
      <c r="F1155" s="134">
        <f>F1156</f>
        <v>2175.75</v>
      </c>
      <c r="G1155" s="134">
        <f t="shared" ref="G1155:G1156" si="277">G1156</f>
        <v>1861.25</v>
      </c>
      <c r="H1155" s="131">
        <f t="shared" si="265"/>
        <v>85.545214293921632</v>
      </c>
    </row>
    <row r="1156" spans="1:11" ht="31.5" x14ac:dyDescent="0.2">
      <c r="A1156" s="132" t="s">
        <v>1006</v>
      </c>
      <c r="B1156" s="133" t="s">
        <v>1009</v>
      </c>
      <c r="C1156" s="133" t="s">
        <v>1046</v>
      </c>
      <c r="D1156" s="133" t="s">
        <v>585</v>
      </c>
      <c r="E1156" s="133"/>
      <c r="F1156" s="134">
        <f>F1157</f>
        <v>2175.75</v>
      </c>
      <c r="G1156" s="134">
        <f t="shared" si="277"/>
        <v>1861.25</v>
      </c>
      <c r="H1156" s="131">
        <f t="shared" si="265"/>
        <v>85.545214293921632</v>
      </c>
    </row>
    <row r="1157" spans="1:11" ht="18.75" x14ac:dyDescent="0.2">
      <c r="A1157" s="135" t="s">
        <v>737</v>
      </c>
      <c r="B1157" s="136" t="s">
        <v>1009</v>
      </c>
      <c r="C1157" s="136" t="s">
        <v>1046</v>
      </c>
      <c r="D1157" s="137" t="s">
        <v>738</v>
      </c>
      <c r="E1157" s="136"/>
      <c r="F1157" s="138">
        <f>F1158</f>
        <v>2175.75</v>
      </c>
      <c r="G1157" s="138">
        <f>G1158</f>
        <v>1861.25</v>
      </c>
      <c r="H1157" s="131">
        <f t="shared" si="265"/>
        <v>85.545214293921632</v>
      </c>
    </row>
    <row r="1158" spans="1:11" ht="31.5" x14ac:dyDescent="0.2">
      <c r="A1158" s="132" t="s">
        <v>743</v>
      </c>
      <c r="B1158" s="133" t="s">
        <v>1009</v>
      </c>
      <c r="C1158" s="133" t="s">
        <v>1046</v>
      </c>
      <c r="D1158" s="133" t="s">
        <v>744</v>
      </c>
      <c r="E1158" s="133"/>
      <c r="F1158" s="203">
        <f>F1159</f>
        <v>2175.75</v>
      </c>
      <c r="G1158" s="203">
        <f t="shared" ref="G1158" si="278">G1159</f>
        <v>1861.25</v>
      </c>
      <c r="H1158" s="131">
        <f t="shared" si="265"/>
        <v>85.545214293921632</v>
      </c>
    </row>
    <row r="1159" spans="1:11" ht="18.75" x14ac:dyDescent="0.2">
      <c r="A1159" s="140" t="s">
        <v>752</v>
      </c>
      <c r="B1159" s="148" t="s">
        <v>1009</v>
      </c>
      <c r="C1159" s="148" t="s">
        <v>1046</v>
      </c>
      <c r="D1159" s="142" t="s">
        <v>753</v>
      </c>
      <c r="E1159" s="171"/>
      <c r="F1159" s="183">
        <f t="shared" ref="F1159:G1161" si="279">F1160</f>
        <v>2175.75</v>
      </c>
      <c r="G1159" s="183">
        <f t="shared" si="279"/>
        <v>1861.25</v>
      </c>
      <c r="H1159" s="131">
        <f t="shared" si="265"/>
        <v>85.545214293921632</v>
      </c>
    </row>
    <row r="1160" spans="1:11" ht="18.75" x14ac:dyDescent="0.2">
      <c r="A1160" s="145" t="s">
        <v>871</v>
      </c>
      <c r="B1160" s="141" t="s">
        <v>1009</v>
      </c>
      <c r="C1160" s="141" t="s">
        <v>1046</v>
      </c>
      <c r="D1160" s="142" t="s">
        <v>753</v>
      </c>
      <c r="E1160" s="219">
        <v>200</v>
      </c>
      <c r="F1160" s="160">
        <f t="shared" si="279"/>
        <v>2175.75</v>
      </c>
      <c r="G1160" s="160">
        <f t="shared" si="279"/>
        <v>1861.25</v>
      </c>
      <c r="H1160" s="131">
        <f t="shared" si="265"/>
        <v>85.545214293921632</v>
      </c>
    </row>
    <row r="1161" spans="1:11" ht="31.5" x14ac:dyDescent="0.2">
      <c r="A1161" s="145" t="s">
        <v>17</v>
      </c>
      <c r="B1161" s="141" t="s">
        <v>1009</v>
      </c>
      <c r="C1161" s="141" t="s">
        <v>1046</v>
      </c>
      <c r="D1161" s="142" t="s">
        <v>753</v>
      </c>
      <c r="E1161" s="219">
        <v>240</v>
      </c>
      <c r="F1161" s="160">
        <f t="shared" si="279"/>
        <v>2175.75</v>
      </c>
      <c r="G1161" s="160">
        <f t="shared" si="279"/>
        <v>1861.25</v>
      </c>
      <c r="H1161" s="131">
        <f t="shared" si="265"/>
        <v>85.545214293921632</v>
      </c>
    </row>
    <row r="1162" spans="1:11" s="82" customFormat="1" ht="18.75" hidden="1" x14ac:dyDescent="0.2">
      <c r="A1162" s="3" t="s">
        <v>548</v>
      </c>
      <c r="B1162" s="2" t="s">
        <v>1009</v>
      </c>
      <c r="C1162" s="2" t="s">
        <v>1046</v>
      </c>
      <c r="D1162" s="1" t="s">
        <v>753</v>
      </c>
      <c r="E1162" s="49">
        <v>244</v>
      </c>
      <c r="F1162" s="62">
        <f>500+2050-374-0.25</f>
        <v>2175.75</v>
      </c>
      <c r="G1162" s="62">
        <v>1861.25</v>
      </c>
      <c r="H1162" s="97">
        <f t="shared" si="265"/>
        <v>85.545214293921632</v>
      </c>
    </row>
    <row r="1163" spans="1:11" ht="18.75" x14ac:dyDescent="0.2">
      <c r="A1163" s="128" t="s">
        <v>1054</v>
      </c>
      <c r="B1163" s="129" t="s">
        <v>1013</v>
      </c>
      <c r="C1163" s="129"/>
      <c r="D1163" s="129"/>
      <c r="E1163" s="129"/>
      <c r="F1163" s="130">
        <f>F1164+F1249+F1480+F1568+F1583+F1680</f>
        <v>6515973.8397400007</v>
      </c>
      <c r="G1163" s="130">
        <f>G1164+G1249+G1480+G1568+G1583+G1680</f>
        <v>6413062.5030500004</v>
      </c>
      <c r="H1163" s="131">
        <f t="shared" si="265"/>
        <v>98.420629989912499</v>
      </c>
      <c r="K1163" s="96">
        <f>6413062.50305-G1163</f>
        <v>0</v>
      </c>
    </row>
    <row r="1164" spans="1:11" ht="18.75" x14ac:dyDescent="0.2">
      <c r="A1164" s="132" t="s">
        <v>1055</v>
      </c>
      <c r="B1164" s="133" t="s">
        <v>1013</v>
      </c>
      <c r="C1164" s="133" t="s">
        <v>992</v>
      </c>
      <c r="D1164" s="133"/>
      <c r="E1164" s="133"/>
      <c r="F1164" s="201">
        <f>F1165+F1219+F1230+F1237+F1243</f>
        <v>2666305.3930000002</v>
      </c>
      <c r="G1164" s="134">
        <f>G1165+G1219+G1230+G1237+G1243</f>
        <v>2612699.6673399997</v>
      </c>
      <c r="H1164" s="131">
        <f t="shared" si="265"/>
        <v>97.989512911734167</v>
      </c>
    </row>
    <row r="1165" spans="1:11" ht="18.75" x14ac:dyDescent="0.2">
      <c r="A1165" s="132" t="s">
        <v>1000</v>
      </c>
      <c r="B1165" s="133" t="s">
        <v>1013</v>
      </c>
      <c r="C1165" s="133" t="s">
        <v>992</v>
      </c>
      <c r="D1165" s="133" t="s">
        <v>214</v>
      </c>
      <c r="E1165" s="133"/>
      <c r="F1165" s="134">
        <f>F1166</f>
        <v>2658740.3930000002</v>
      </c>
      <c r="G1165" s="134">
        <f>G1166</f>
        <v>2605135.7727600001</v>
      </c>
      <c r="H1165" s="131">
        <f t="shared" si="265"/>
        <v>97.983833984651852</v>
      </c>
    </row>
    <row r="1166" spans="1:11" ht="18.75" x14ac:dyDescent="0.2">
      <c r="A1166" s="135" t="s">
        <v>6</v>
      </c>
      <c r="B1166" s="136" t="s">
        <v>1013</v>
      </c>
      <c r="C1166" s="136" t="s">
        <v>992</v>
      </c>
      <c r="D1166" s="136" t="s">
        <v>215</v>
      </c>
      <c r="E1166" s="136"/>
      <c r="F1166" s="138">
        <f>F1167+F1179+F1196+F1201+F1206</f>
        <v>2658740.3930000002</v>
      </c>
      <c r="G1166" s="138">
        <f>G1167+G1179+G1196+G1201+G1206</f>
        <v>2605135.7727600001</v>
      </c>
      <c r="H1166" s="131">
        <f t="shared" si="265"/>
        <v>97.983833984651852</v>
      </c>
    </row>
    <row r="1167" spans="1:11" ht="31.5" x14ac:dyDescent="0.2">
      <c r="A1167" s="132" t="s">
        <v>1056</v>
      </c>
      <c r="B1167" s="133" t="s">
        <v>1013</v>
      </c>
      <c r="C1167" s="133" t="s">
        <v>992</v>
      </c>
      <c r="D1167" s="139" t="s">
        <v>216</v>
      </c>
      <c r="E1167" s="161"/>
      <c r="F1167" s="134">
        <f>F1168+F1175</f>
        <v>285552</v>
      </c>
      <c r="G1167" s="134">
        <f>G1168+G1175</f>
        <v>285517.09999999998</v>
      </c>
      <c r="H1167" s="131">
        <f t="shared" si="265"/>
        <v>99.987778057936907</v>
      </c>
    </row>
    <row r="1168" spans="1:11" ht="31.5" x14ac:dyDescent="0.2">
      <c r="A1168" s="140" t="s">
        <v>289</v>
      </c>
      <c r="B1168" s="148" t="s">
        <v>1013</v>
      </c>
      <c r="C1168" s="148" t="s">
        <v>992</v>
      </c>
      <c r="D1168" s="148" t="s">
        <v>1057</v>
      </c>
      <c r="E1168" s="149"/>
      <c r="F1168" s="144">
        <f>F1169+F1172</f>
        <v>35552</v>
      </c>
      <c r="G1168" s="144">
        <f>G1169+G1172</f>
        <v>35517.1</v>
      </c>
      <c r="H1168" s="131">
        <f t="shared" ref="H1168:H1211" si="280">G1168/F1168*100</f>
        <v>99.901833933393334</v>
      </c>
    </row>
    <row r="1169" spans="1:9" ht="18.75" x14ac:dyDescent="0.2">
      <c r="A1169" s="145" t="s">
        <v>871</v>
      </c>
      <c r="B1169" s="257" t="s">
        <v>1013</v>
      </c>
      <c r="C1169" s="257" t="s">
        <v>992</v>
      </c>
      <c r="D1169" s="146" t="s">
        <v>217</v>
      </c>
      <c r="E1169" s="141" t="s">
        <v>15</v>
      </c>
      <c r="F1169" s="147">
        <f t="shared" ref="F1169:G1170" si="281">F1170</f>
        <v>355</v>
      </c>
      <c r="G1169" s="147">
        <f t="shared" si="281"/>
        <v>322.10000000000002</v>
      </c>
      <c r="H1169" s="131">
        <f t="shared" si="280"/>
        <v>90.732394366197184</v>
      </c>
    </row>
    <row r="1170" spans="1:9" ht="31.5" x14ac:dyDescent="0.2">
      <c r="A1170" s="145" t="s">
        <v>17</v>
      </c>
      <c r="B1170" s="257" t="s">
        <v>1013</v>
      </c>
      <c r="C1170" s="257" t="s">
        <v>992</v>
      </c>
      <c r="D1170" s="146" t="s">
        <v>217</v>
      </c>
      <c r="E1170" s="141" t="s">
        <v>16</v>
      </c>
      <c r="F1170" s="147">
        <f t="shared" si="281"/>
        <v>355</v>
      </c>
      <c r="G1170" s="147">
        <f t="shared" si="281"/>
        <v>322.10000000000002</v>
      </c>
      <c r="H1170" s="131">
        <f t="shared" si="280"/>
        <v>90.732394366197184</v>
      </c>
    </row>
    <row r="1171" spans="1:9" s="82" customFormat="1" ht="18.75" hidden="1" x14ac:dyDescent="0.2">
      <c r="A1171" s="3" t="s">
        <v>548</v>
      </c>
      <c r="B1171" s="2" t="s">
        <v>1013</v>
      </c>
      <c r="C1171" s="2" t="s">
        <v>992</v>
      </c>
      <c r="D1171" s="4" t="s">
        <v>217</v>
      </c>
      <c r="E1171" s="2" t="s">
        <v>67</v>
      </c>
      <c r="F1171" s="10">
        <v>355</v>
      </c>
      <c r="G1171" s="10">
        <v>322.10000000000002</v>
      </c>
      <c r="H1171" s="97">
        <f t="shared" si="280"/>
        <v>90.732394366197184</v>
      </c>
    </row>
    <row r="1172" spans="1:9" ht="18.75" x14ac:dyDescent="0.2">
      <c r="A1172" s="145" t="s">
        <v>22</v>
      </c>
      <c r="B1172" s="141" t="s">
        <v>1013</v>
      </c>
      <c r="C1172" s="141" t="s">
        <v>992</v>
      </c>
      <c r="D1172" s="146" t="s">
        <v>217</v>
      </c>
      <c r="E1172" s="159">
        <v>300</v>
      </c>
      <c r="F1172" s="147">
        <f t="shared" ref="F1172:G1172" si="282">F1173</f>
        <v>35197</v>
      </c>
      <c r="G1172" s="147">
        <f t="shared" si="282"/>
        <v>35195</v>
      </c>
      <c r="H1172" s="131">
        <f t="shared" si="280"/>
        <v>99.994317697531045</v>
      </c>
    </row>
    <row r="1173" spans="1:9" ht="31.5" x14ac:dyDescent="0.2">
      <c r="A1173" s="145" t="s">
        <v>108</v>
      </c>
      <c r="B1173" s="141" t="s">
        <v>1013</v>
      </c>
      <c r="C1173" s="141" t="s">
        <v>992</v>
      </c>
      <c r="D1173" s="146" t="s">
        <v>217</v>
      </c>
      <c r="E1173" s="159">
        <v>320</v>
      </c>
      <c r="F1173" s="147">
        <f>F1174</f>
        <v>35197</v>
      </c>
      <c r="G1173" s="147">
        <f>G1174</f>
        <v>35195</v>
      </c>
      <c r="H1173" s="131">
        <f t="shared" si="280"/>
        <v>99.994317697531045</v>
      </c>
    </row>
    <row r="1174" spans="1:9" s="82" customFormat="1" ht="31.5" hidden="1" x14ac:dyDescent="0.2">
      <c r="A1174" s="3" t="s">
        <v>116</v>
      </c>
      <c r="B1174" s="76" t="s">
        <v>1013</v>
      </c>
      <c r="C1174" s="76" t="s">
        <v>992</v>
      </c>
      <c r="D1174" s="4" t="s">
        <v>217</v>
      </c>
      <c r="E1174" s="9">
        <v>321</v>
      </c>
      <c r="F1174" s="10">
        <v>35197</v>
      </c>
      <c r="G1174" s="10">
        <v>35195</v>
      </c>
      <c r="H1174" s="97">
        <f t="shared" si="280"/>
        <v>99.994317697531045</v>
      </c>
    </row>
    <row r="1175" spans="1:9" ht="31.5" x14ac:dyDescent="0.25">
      <c r="A1175" s="167" t="s">
        <v>1142</v>
      </c>
      <c r="B1175" s="148" t="s">
        <v>1013</v>
      </c>
      <c r="C1175" s="148" t="s">
        <v>992</v>
      </c>
      <c r="D1175" s="190" t="s">
        <v>1137</v>
      </c>
      <c r="E1175" s="148"/>
      <c r="F1175" s="168">
        <f t="shared" ref="F1175:G1177" si="283">F1176</f>
        <v>250000</v>
      </c>
      <c r="G1175" s="168">
        <f t="shared" si="283"/>
        <v>250000</v>
      </c>
      <c r="H1175" s="131">
        <f t="shared" si="280"/>
        <v>100</v>
      </c>
    </row>
    <row r="1176" spans="1:9" ht="31.5" x14ac:dyDescent="0.25">
      <c r="A1176" s="258" t="s">
        <v>493</v>
      </c>
      <c r="B1176" s="141" t="s">
        <v>1013</v>
      </c>
      <c r="C1176" s="141" t="s">
        <v>992</v>
      </c>
      <c r="D1176" s="171" t="s">
        <v>1137</v>
      </c>
      <c r="E1176" s="151" t="s">
        <v>34</v>
      </c>
      <c r="F1176" s="147">
        <f t="shared" si="283"/>
        <v>250000</v>
      </c>
      <c r="G1176" s="259">
        <f t="shared" si="283"/>
        <v>250000</v>
      </c>
      <c r="H1176" s="131">
        <f t="shared" si="280"/>
        <v>100</v>
      </c>
    </row>
    <row r="1177" spans="1:9" ht="18.75" x14ac:dyDescent="0.25">
      <c r="A1177" s="258" t="s">
        <v>33</v>
      </c>
      <c r="B1177" s="141" t="s">
        <v>1013</v>
      </c>
      <c r="C1177" s="141" t="s">
        <v>992</v>
      </c>
      <c r="D1177" s="171" t="s">
        <v>1137</v>
      </c>
      <c r="E1177" s="151" t="s">
        <v>129</v>
      </c>
      <c r="F1177" s="147">
        <f t="shared" si="283"/>
        <v>250000</v>
      </c>
      <c r="G1177" s="259">
        <f t="shared" si="283"/>
        <v>250000</v>
      </c>
      <c r="H1177" s="131">
        <f t="shared" si="280"/>
        <v>100</v>
      </c>
    </row>
    <row r="1178" spans="1:9" s="82" customFormat="1" ht="31.5" hidden="1" x14ac:dyDescent="0.25">
      <c r="A1178" s="8" t="s">
        <v>113</v>
      </c>
      <c r="B1178" s="2" t="s">
        <v>1013</v>
      </c>
      <c r="C1178" s="2" t="s">
        <v>992</v>
      </c>
      <c r="D1178" s="13" t="s">
        <v>1137</v>
      </c>
      <c r="E1178" s="5" t="s">
        <v>494</v>
      </c>
      <c r="F1178" s="10">
        <f>95000+155000</f>
        <v>250000</v>
      </c>
      <c r="G1178" s="65">
        <v>250000</v>
      </c>
      <c r="H1178" s="97">
        <f t="shared" si="280"/>
        <v>100</v>
      </c>
    </row>
    <row r="1179" spans="1:9" ht="47.25" x14ac:dyDescent="0.2">
      <c r="A1179" s="132" t="s">
        <v>658</v>
      </c>
      <c r="B1179" s="133" t="s">
        <v>1013</v>
      </c>
      <c r="C1179" s="133" t="s">
        <v>992</v>
      </c>
      <c r="D1179" s="139" t="s">
        <v>218</v>
      </c>
      <c r="E1179" s="161"/>
      <c r="F1179" s="134">
        <f>F1180+F1184+F1188+F1192</f>
        <v>2178947</v>
      </c>
      <c r="G1179" s="134">
        <f>G1180+G1184+G1188+G1192</f>
        <v>2172725.8219999997</v>
      </c>
      <c r="H1179" s="131">
        <f t="shared" si="280"/>
        <v>99.714486951724837</v>
      </c>
      <c r="I1179" s="96"/>
    </row>
    <row r="1180" spans="1:9" ht="94.5" x14ac:dyDescent="0.2">
      <c r="A1180" s="140" t="s">
        <v>659</v>
      </c>
      <c r="B1180" s="148" t="s">
        <v>1013</v>
      </c>
      <c r="C1180" s="148" t="s">
        <v>992</v>
      </c>
      <c r="D1180" s="142" t="s">
        <v>219</v>
      </c>
      <c r="E1180" s="177"/>
      <c r="F1180" s="144">
        <f t="shared" ref="F1180:G1182" si="284">F1181</f>
        <v>1347543</v>
      </c>
      <c r="G1180" s="144">
        <f t="shared" si="284"/>
        <v>1346273</v>
      </c>
      <c r="H1180" s="131">
        <f t="shared" si="280"/>
        <v>99.905754398931975</v>
      </c>
    </row>
    <row r="1181" spans="1:9" ht="31.5" x14ac:dyDescent="0.2">
      <c r="A1181" s="145" t="s">
        <v>18</v>
      </c>
      <c r="B1181" s="257" t="s">
        <v>1013</v>
      </c>
      <c r="C1181" s="257" t="s">
        <v>992</v>
      </c>
      <c r="D1181" s="146" t="s">
        <v>219</v>
      </c>
      <c r="E1181" s="159">
        <v>600</v>
      </c>
      <c r="F1181" s="147">
        <f t="shared" si="284"/>
        <v>1347543</v>
      </c>
      <c r="G1181" s="147">
        <f t="shared" si="284"/>
        <v>1346273</v>
      </c>
      <c r="H1181" s="131">
        <f t="shared" si="280"/>
        <v>99.905754398931975</v>
      </c>
    </row>
    <row r="1182" spans="1:9" ht="18.75" x14ac:dyDescent="0.2">
      <c r="A1182" s="145" t="s">
        <v>24</v>
      </c>
      <c r="B1182" s="257" t="s">
        <v>1013</v>
      </c>
      <c r="C1182" s="257" t="s">
        <v>992</v>
      </c>
      <c r="D1182" s="146" t="s">
        <v>219</v>
      </c>
      <c r="E1182" s="159">
        <v>610</v>
      </c>
      <c r="F1182" s="147">
        <f t="shared" si="284"/>
        <v>1347543</v>
      </c>
      <c r="G1182" s="147">
        <f t="shared" si="284"/>
        <v>1346273</v>
      </c>
      <c r="H1182" s="131">
        <f t="shared" si="280"/>
        <v>99.905754398931975</v>
      </c>
    </row>
    <row r="1183" spans="1:9" s="82" customFormat="1" ht="47.25" hidden="1" x14ac:dyDescent="0.2">
      <c r="A1183" s="3" t="s">
        <v>88</v>
      </c>
      <c r="B1183" s="76" t="s">
        <v>1013</v>
      </c>
      <c r="C1183" s="76" t="s">
        <v>992</v>
      </c>
      <c r="D1183" s="4" t="s">
        <v>219</v>
      </c>
      <c r="E1183" s="9">
        <v>611</v>
      </c>
      <c r="F1183" s="10">
        <f>1404532-57863+874</f>
        <v>1347543</v>
      </c>
      <c r="G1183" s="10">
        <v>1346273</v>
      </c>
      <c r="H1183" s="97">
        <f t="shared" si="280"/>
        <v>99.905754398931975</v>
      </c>
    </row>
    <row r="1184" spans="1:9" ht="78.75" x14ac:dyDescent="0.2">
      <c r="A1184" s="140" t="s">
        <v>86</v>
      </c>
      <c r="B1184" s="148" t="s">
        <v>1013</v>
      </c>
      <c r="C1184" s="148" t="s">
        <v>992</v>
      </c>
      <c r="D1184" s="142" t="s">
        <v>220</v>
      </c>
      <c r="E1184" s="177"/>
      <c r="F1184" s="144">
        <f t="shared" ref="F1184:G1186" si="285">F1185</f>
        <v>81627</v>
      </c>
      <c r="G1184" s="144">
        <f t="shared" si="285"/>
        <v>76675.822</v>
      </c>
      <c r="H1184" s="131">
        <f t="shared" si="280"/>
        <v>93.93438690629327</v>
      </c>
    </row>
    <row r="1185" spans="1:8" ht="31.5" x14ac:dyDescent="0.2">
      <c r="A1185" s="145" t="s">
        <v>18</v>
      </c>
      <c r="B1185" s="141" t="s">
        <v>1013</v>
      </c>
      <c r="C1185" s="141" t="s">
        <v>992</v>
      </c>
      <c r="D1185" s="146" t="s">
        <v>220</v>
      </c>
      <c r="E1185" s="159">
        <v>600</v>
      </c>
      <c r="F1185" s="147">
        <f t="shared" si="285"/>
        <v>81627</v>
      </c>
      <c r="G1185" s="147">
        <f t="shared" si="285"/>
        <v>76675.822</v>
      </c>
      <c r="H1185" s="131">
        <f t="shared" si="280"/>
        <v>93.93438690629327</v>
      </c>
    </row>
    <row r="1186" spans="1:8" ht="31.5" x14ac:dyDescent="0.2">
      <c r="A1186" s="157" t="s">
        <v>26</v>
      </c>
      <c r="B1186" s="141" t="s">
        <v>1013</v>
      </c>
      <c r="C1186" s="141" t="s">
        <v>992</v>
      </c>
      <c r="D1186" s="146" t="s">
        <v>220</v>
      </c>
      <c r="E1186" s="159">
        <v>630</v>
      </c>
      <c r="F1186" s="147">
        <f t="shared" si="285"/>
        <v>81627</v>
      </c>
      <c r="G1186" s="147">
        <f t="shared" si="285"/>
        <v>76675.822</v>
      </c>
      <c r="H1186" s="131">
        <f t="shared" si="280"/>
        <v>93.93438690629327</v>
      </c>
    </row>
    <row r="1187" spans="1:8" s="82" customFormat="1" ht="31.5" hidden="1" x14ac:dyDescent="0.2">
      <c r="A1187" s="28" t="s">
        <v>610</v>
      </c>
      <c r="B1187" s="2" t="s">
        <v>1013</v>
      </c>
      <c r="C1187" s="2" t="s">
        <v>992</v>
      </c>
      <c r="D1187" s="4" t="s">
        <v>220</v>
      </c>
      <c r="E1187" s="9">
        <v>631</v>
      </c>
      <c r="F1187" s="10">
        <f>77418+4812-603</f>
        <v>81627</v>
      </c>
      <c r="G1187" s="10">
        <v>76675.822</v>
      </c>
      <c r="H1187" s="97">
        <f t="shared" si="280"/>
        <v>93.93438690629327</v>
      </c>
    </row>
    <row r="1188" spans="1:8" ht="18.75" x14ac:dyDescent="0.2">
      <c r="A1188" s="140" t="s">
        <v>87</v>
      </c>
      <c r="B1188" s="148" t="s">
        <v>1013</v>
      </c>
      <c r="C1188" s="148" t="s">
        <v>992</v>
      </c>
      <c r="D1188" s="148" t="s">
        <v>221</v>
      </c>
      <c r="E1188" s="148"/>
      <c r="F1188" s="144">
        <f t="shared" ref="F1188:G1190" si="286">F1189</f>
        <v>691914</v>
      </c>
      <c r="G1188" s="144">
        <f t="shared" si="286"/>
        <v>691914</v>
      </c>
      <c r="H1188" s="131">
        <f t="shared" si="280"/>
        <v>100</v>
      </c>
    </row>
    <row r="1189" spans="1:8" ht="31.5" x14ac:dyDescent="0.2">
      <c r="A1189" s="145" t="s">
        <v>18</v>
      </c>
      <c r="B1189" s="141" t="s">
        <v>1013</v>
      </c>
      <c r="C1189" s="141" t="s">
        <v>992</v>
      </c>
      <c r="D1189" s="141" t="s">
        <v>221</v>
      </c>
      <c r="E1189" s="141" t="s">
        <v>20</v>
      </c>
      <c r="F1189" s="147">
        <f t="shared" si="286"/>
        <v>691914</v>
      </c>
      <c r="G1189" s="147">
        <f t="shared" si="286"/>
        <v>691914</v>
      </c>
      <c r="H1189" s="131">
        <f t="shared" si="280"/>
        <v>100</v>
      </c>
    </row>
    <row r="1190" spans="1:8" ht="18.75" x14ac:dyDescent="0.2">
      <c r="A1190" s="145" t="s">
        <v>24</v>
      </c>
      <c r="B1190" s="141" t="s">
        <v>1013</v>
      </c>
      <c r="C1190" s="141" t="s">
        <v>992</v>
      </c>
      <c r="D1190" s="141" t="s">
        <v>221</v>
      </c>
      <c r="E1190" s="141" t="s">
        <v>25</v>
      </c>
      <c r="F1190" s="147">
        <f t="shared" si="286"/>
        <v>691914</v>
      </c>
      <c r="G1190" s="147">
        <f t="shared" si="286"/>
        <v>691914</v>
      </c>
      <c r="H1190" s="131">
        <f t="shared" si="280"/>
        <v>100</v>
      </c>
    </row>
    <row r="1191" spans="1:8" s="82" customFormat="1" ht="47.25" hidden="1" x14ac:dyDescent="0.2">
      <c r="A1191" s="3" t="s">
        <v>88</v>
      </c>
      <c r="B1191" s="12" t="s">
        <v>1013</v>
      </c>
      <c r="C1191" s="12" t="s">
        <v>992</v>
      </c>
      <c r="D1191" s="2" t="s">
        <v>221</v>
      </c>
      <c r="E1191" s="2" t="s">
        <v>89</v>
      </c>
      <c r="F1191" s="10">
        <f>691974-4000-3000+3940-1000+4000</f>
        <v>691914</v>
      </c>
      <c r="G1191" s="10">
        <v>691914</v>
      </c>
      <c r="H1191" s="97">
        <f t="shared" si="280"/>
        <v>100</v>
      </c>
    </row>
    <row r="1192" spans="1:8" ht="31.5" x14ac:dyDescent="0.2">
      <c r="A1192" s="140" t="s">
        <v>1151</v>
      </c>
      <c r="B1192" s="141" t="s">
        <v>1013</v>
      </c>
      <c r="C1192" s="141" t="s">
        <v>992</v>
      </c>
      <c r="D1192" s="148" t="s">
        <v>1152</v>
      </c>
      <c r="E1192" s="177"/>
      <c r="F1192" s="144">
        <f t="shared" ref="F1192:G1194" si="287">F1193</f>
        <v>57863</v>
      </c>
      <c r="G1192" s="144">
        <f t="shared" si="287"/>
        <v>57863</v>
      </c>
      <c r="H1192" s="131">
        <f t="shared" si="280"/>
        <v>100</v>
      </c>
    </row>
    <row r="1193" spans="1:8" ht="31.5" x14ac:dyDescent="0.2">
      <c r="A1193" s="145" t="s">
        <v>18</v>
      </c>
      <c r="B1193" s="141" t="s">
        <v>1013</v>
      </c>
      <c r="C1193" s="141" t="s">
        <v>992</v>
      </c>
      <c r="D1193" s="141" t="s">
        <v>1152</v>
      </c>
      <c r="E1193" s="141" t="s">
        <v>20</v>
      </c>
      <c r="F1193" s="158">
        <f t="shared" si="287"/>
        <v>57863</v>
      </c>
      <c r="G1193" s="147">
        <f t="shared" si="287"/>
        <v>57863</v>
      </c>
      <c r="H1193" s="131">
        <f t="shared" si="280"/>
        <v>100</v>
      </c>
    </row>
    <row r="1194" spans="1:8" ht="18.75" x14ac:dyDescent="0.2">
      <c r="A1194" s="145" t="s">
        <v>24</v>
      </c>
      <c r="B1194" s="141" t="s">
        <v>1013</v>
      </c>
      <c r="C1194" s="141" t="s">
        <v>992</v>
      </c>
      <c r="D1194" s="141" t="s">
        <v>1152</v>
      </c>
      <c r="E1194" s="141" t="s">
        <v>25</v>
      </c>
      <c r="F1194" s="158">
        <f t="shared" si="287"/>
        <v>57863</v>
      </c>
      <c r="G1194" s="147">
        <f t="shared" si="287"/>
        <v>57863</v>
      </c>
      <c r="H1194" s="131">
        <f t="shared" si="280"/>
        <v>100</v>
      </c>
    </row>
    <row r="1195" spans="1:8" s="82" customFormat="1" ht="18.75" hidden="1" x14ac:dyDescent="0.2">
      <c r="A1195" s="3" t="s">
        <v>72</v>
      </c>
      <c r="B1195" s="2" t="s">
        <v>1013</v>
      </c>
      <c r="C1195" s="2" t="s">
        <v>992</v>
      </c>
      <c r="D1195" s="2" t="s">
        <v>1152</v>
      </c>
      <c r="E1195" s="2" t="s">
        <v>73</v>
      </c>
      <c r="F1195" s="14">
        <f>57868-5</f>
        <v>57863</v>
      </c>
      <c r="G1195" s="10">
        <v>57863</v>
      </c>
      <c r="H1195" s="97">
        <f t="shared" si="280"/>
        <v>100</v>
      </c>
    </row>
    <row r="1196" spans="1:8" ht="31.5" x14ac:dyDescent="0.2">
      <c r="A1196" s="132" t="s">
        <v>1058</v>
      </c>
      <c r="B1196" s="133" t="s">
        <v>1013</v>
      </c>
      <c r="C1196" s="133" t="s">
        <v>992</v>
      </c>
      <c r="D1196" s="139" t="s">
        <v>293</v>
      </c>
      <c r="E1196" s="161"/>
      <c r="F1196" s="222">
        <f>F1197</f>
        <v>35922</v>
      </c>
      <c r="G1196" s="222">
        <f t="shared" ref="G1196" si="288">G1197</f>
        <v>35843.799010000002</v>
      </c>
      <c r="H1196" s="131">
        <f t="shared" si="280"/>
        <v>99.782303351706474</v>
      </c>
    </row>
    <row r="1197" spans="1:8" ht="31.5" x14ac:dyDescent="0.2">
      <c r="A1197" s="140" t="s">
        <v>82</v>
      </c>
      <c r="B1197" s="148" t="s">
        <v>1013</v>
      </c>
      <c r="C1197" s="148" t="s">
        <v>992</v>
      </c>
      <c r="D1197" s="142" t="s">
        <v>660</v>
      </c>
      <c r="E1197" s="148"/>
      <c r="F1197" s="156">
        <f t="shared" ref="F1197:G1199" si="289">F1198</f>
        <v>35922</v>
      </c>
      <c r="G1197" s="156">
        <f t="shared" si="289"/>
        <v>35843.799010000002</v>
      </c>
      <c r="H1197" s="131">
        <f t="shared" si="280"/>
        <v>99.782303351706474</v>
      </c>
    </row>
    <row r="1198" spans="1:8" ht="31.5" x14ac:dyDescent="0.2">
      <c r="A1198" s="145" t="s">
        <v>18</v>
      </c>
      <c r="B1198" s="141" t="s">
        <v>1013</v>
      </c>
      <c r="C1198" s="141" t="s">
        <v>992</v>
      </c>
      <c r="D1198" s="146" t="s">
        <v>660</v>
      </c>
      <c r="E1198" s="141" t="s">
        <v>20</v>
      </c>
      <c r="F1198" s="158">
        <f t="shared" si="289"/>
        <v>35922</v>
      </c>
      <c r="G1198" s="158">
        <f t="shared" si="289"/>
        <v>35843.799010000002</v>
      </c>
      <c r="H1198" s="131">
        <f t="shared" si="280"/>
        <v>99.782303351706474</v>
      </c>
    </row>
    <row r="1199" spans="1:8" ht="18.75" x14ac:dyDescent="0.2">
      <c r="A1199" s="145" t="s">
        <v>24</v>
      </c>
      <c r="B1199" s="141" t="s">
        <v>1013</v>
      </c>
      <c r="C1199" s="141" t="s">
        <v>992</v>
      </c>
      <c r="D1199" s="146" t="s">
        <v>660</v>
      </c>
      <c r="E1199" s="141" t="s">
        <v>25</v>
      </c>
      <c r="F1199" s="158">
        <f t="shared" si="289"/>
        <v>35922</v>
      </c>
      <c r="G1199" s="158">
        <f t="shared" si="289"/>
        <v>35843.799010000002</v>
      </c>
      <c r="H1199" s="131">
        <f t="shared" si="280"/>
        <v>99.782303351706474</v>
      </c>
    </row>
    <row r="1200" spans="1:8" s="82" customFormat="1" ht="18.75" hidden="1" x14ac:dyDescent="0.2">
      <c r="A1200" s="3" t="s">
        <v>72</v>
      </c>
      <c r="B1200" s="2" t="s">
        <v>1013</v>
      </c>
      <c r="C1200" s="2" t="s">
        <v>992</v>
      </c>
      <c r="D1200" s="4" t="s">
        <v>660</v>
      </c>
      <c r="E1200" s="2" t="s">
        <v>73</v>
      </c>
      <c r="F1200" s="14">
        <f>42772-7000-250+400</f>
        <v>35922</v>
      </c>
      <c r="G1200" s="14">
        <v>35843.799010000002</v>
      </c>
      <c r="H1200" s="97">
        <f t="shared" si="280"/>
        <v>99.782303351706474</v>
      </c>
    </row>
    <row r="1201" spans="1:8" ht="47.25" x14ac:dyDescent="0.2">
      <c r="A1201" s="132" t="s">
        <v>661</v>
      </c>
      <c r="B1201" s="133" t="s">
        <v>1013</v>
      </c>
      <c r="C1201" s="133" t="s">
        <v>992</v>
      </c>
      <c r="D1201" s="139" t="s">
        <v>662</v>
      </c>
      <c r="E1201" s="161"/>
      <c r="F1201" s="222">
        <f>F1202</f>
        <v>560</v>
      </c>
      <c r="G1201" s="222">
        <f t="shared" ref="G1201" si="290">G1202</f>
        <v>544.93353000000002</v>
      </c>
      <c r="H1201" s="131">
        <f t="shared" si="280"/>
        <v>97.30955892857142</v>
      </c>
    </row>
    <row r="1202" spans="1:8" ht="18.75" x14ac:dyDescent="0.2">
      <c r="A1202" s="140" t="s">
        <v>83</v>
      </c>
      <c r="B1202" s="148" t="s">
        <v>1013</v>
      </c>
      <c r="C1202" s="148" t="s">
        <v>992</v>
      </c>
      <c r="D1202" s="142" t="s">
        <v>663</v>
      </c>
      <c r="E1202" s="148"/>
      <c r="F1202" s="156">
        <f>F1203</f>
        <v>560</v>
      </c>
      <c r="G1202" s="156">
        <f>G1203</f>
        <v>544.93353000000002</v>
      </c>
      <c r="H1202" s="131">
        <f t="shared" si="280"/>
        <v>97.30955892857142</v>
      </c>
    </row>
    <row r="1203" spans="1:8" ht="31.5" x14ac:dyDescent="0.2">
      <c r="A1203" s="145" t="s">
        <v>18</v>
      </c>
      <c r="B1203" s="141" t="s">
        <v>1013</v>
      </c>
      <c r="C1203" s="141" t="s">
        <v>992</v>
      </c>
      <c r="D1203" s="146" t="s">
        <v>663</v>
      </c>
      <c r="E1203" s="141" t="s">
        <v>20</v>
      </c>
      <c r="F1203" s="158">
        <f t="shared" ref="F1203:G1204" si="291">F1204</f>
        <v>560</v>
      </c>
      <c r="G1203" s="158">
        <f t="shared" si="291"/>
        <v>544.93353000000002</v>
      </c>
      <c r="H1203" s="131">
        <f t="shared" si="280"/>
        <v>97.30955892857142</v>
      </c>
    </row>
    <row r="1204" spans="1:8" ht="18.75" x14ac:dyDescent="0.2">
      <c r="A1204" s="145" t="s">
        <v>24</v>
      </c>
      <c r="B1204" s="141" t="s">
        <v>1013</v>
      </c>
      <c r="C1204" s="141" t="s">
        <v>992</v>
      </c>
      <c r="D1204" s="146" t="s">
        <v>663</v>
      </c>
      <c r="E1204" s="141" t="s">
        <v>25</v>
      </c>
      <c r="F1204" s="158">
        <f t="shared" si="291"/>
        <v>560</v>
      </c>
      <c r="G1204" s="158">
        <f t="shared" si="291"/>
        <v>544.93353000000002</v>
      </c>
      <c r="H1204" s="131">
        <f t="shared" si="280"/>
        <v>97.30955892857142</v>
      </c>
    </row>
    <row r="1205" spans="1:8" s="82" customFormat="1" ht="18.75" hidden="1" x14ac:dyDescent="0.2">
      <c r="A1205" s="3" t="s">
        <v>72</v>
      </c>
      <c r="B1205" s="2" t="s">
        <v>1013</v>
      </c>
      <c r="C1205" s="2" t="s">
        <v>992</v>
      </c>
      <c r="D1205" s="4" t="s">
        <v>663</v>
      </c>
      <c r="E1205" s="2" t="s">
        <v>73</v>
      </c>
      <c r="F1205" s="14">
        <f>560</f>
        <v>560</v>
      </c>
      <c r="G1205" s="14">
        <v>544.93353000000002</v>
      </c>
      <c r="H1205" s="97">
        <f t="shared" si="280"/>
        <v>97.30955892857142</v>
      </c>
    </row>
    <row r="1206" spans="1:8" ht="31.5" x14ac:dyDescent="0.2">
      <c r="A1206" s="132" t="s">
        <v>803</v>
      </c>
      <c r="B1206" s="133" t="s">
        <v>1013</v>
      </c>
      <c r="C1206" s="133" t="s">
        <v>992</v>
      </c>
      <c r="D1206" s="161" t="s">
        <v>804</v>
      </c>
      <c r="E1206" s="133"/>
      <c r="F1206" s="164">
        <f>F1207+F1211+F1215</f>
        <v>157759.39299999998</v>
      </c>
      <c r="G1206" s="164">
        <f>G1207+G1211+G1215</f>
        <v>110504.11822</v>
      </c>
      <c r="H1206" s="131">
        <f t="shared" si="280"/>
        <v>70.045983391936616</v>
      </c>
    </row>
    <row r="1207" spans="1:8" ht="47.25" x14ac:dyDescent="0.2">
      <c r="A1207" s="140" t="s">
        <v>977</v>
      </c>
      <c r="B1207" s="148" t="s">
        <v>1013</v>
      </c>
      <c r="C1207" s="148" t="s">
        <v>992</v>
      </c>
      <c r="D1207" s="190" t="s">
        <v>971</v>
      </c>
      <c r="E1207" s="148"/>
      <c r="F1207" s="256">
        <f t="shared" ref="F1207:G1209" si="292">F1208</f>
        <v>22752.3</v>
      </c>
      <c r="G1207" s="168">
        <f>G1208</f>
        <v>20027.42193</v>
      </c>
      <c r="H1207" s="131">
        <f t="shared" si="280"/>
        <v>88.023724766287373</v>
      </c>
    </row>
    <row r="1208" spans="1:8" ht="31.5" x14ac:dyDescent="0.2">
      <c r="A1208" s="150" t="s">
        <v>657</v>
      </c>
      <c r="B1208" s="141" t="s">
        <v>1013</v>
      </c>
      <c r="C1208" s="141" t="s">
        <v>992</v>
      </c>
      <c r="D1208" s="171" t="s">
        <v>971</v>
      </c>
      <c r="E1208" s="151" t="s">
        <v>34</v>
      </c>
      <c r="F1208" s="254">
        <f t="shared" si="292"/>
        <v>22752.3</v>
      </c>
      <c r="G1208" s="166">
        <f t="shared" si="292"/>
        <v>20027.42193</v>
      </c>
      <c r="H1208" s="131">
        <f t="shared" si="280"/>
        <v>88.023724766287373</v>
      </c>
    </row>
    <row r="1209" spans="1:8" ht="18.75" x14ac:dyDescent="0.2">
      <c r="A1209" s="150" t="s">
        <v>33</v>
      </c>
      <c r="B1209" s="141" t="s">
        <v>1013</v>
      </c>
      <c r="C1209" s="141" t="s">
        <v>992</v>
      </c>
      <c r="D1209" s="171" t="s">
        <v>971</v>
      </c>
      <c r="E1209" s="151">
        <v>410</v>
      </c>
      <c r="F1209" s="254">
        <f t="shared" si="292"/>
        <v>22752.3</v>
      </c>
      <c r="G1209" s="166">
        <f t="shared" si="292"/>
        <v>20027.42193</v>
      </c>
      <c r="H1209" s="131">
        <f t="shared" si="280"/>
        <v>88.023724766287373</v>
      </c>
    </row>
    <row r="1210" spans="1:8" s="82" customFormat="1" ht="31.5" hidden="1" x14ac:dyDescent="0.2">
      <c r="A1210" s="19" t="s">
        <v>84</v>
      </c>
      <c r="B1210" s="2" t="s">
        <v>1013</v>
      </c>
      <c r="C1210" s="2" t="s">
        <v>992</v>
      </c>
      <c r="D1210" s="13" t="s">
        <v>971</v>
      </c>
      <c r="E1210" s="5" t="s">
        <v>85</v>
      </c>
      <c r="F1210" s="39">
        <f>1762+12123-12123+3095-4857+4857+29150-10201.7-1053</f>
        <v>22752.3</v>
      </c>
      <c r="G1210" s="36">
        <v>20027.42193</v>
      </c>
      <c r="H1210" s="97">
        <f t="shared" si="280"/>
        <v>88.023724766287373</v>
      </c>
    </row>
    <row r="1211" spans="1:8" ht="63" x14ac:dyDescent="0.2">
      <c r="A1211" s="140" t="s">
        <v>805</v>
      </c>
      <c r="B1211" s="148" t="s">
        <v>1013</v>
      </c>
      <c r="C1211" s="148" t="s">
        <v>992</v>
      </c>
      <c r="D1211" s="190" t="s">
        <v>806</v>
      </c>
      <c r="E1211" s="148"/>
      <c r="F1211" s="168">
        <f>F1212</f>
        <v>100004.09299999999</v>
      </c>
      <c r="G1211" s="168">
        <f>G1212</f>
        <v>55473.69629</v>
      </c>
      <c r="H1211" s="131">
        <f t="shared" si="280"/>
        <v>55.471425844540192</v>
      </c>
    </row>
    <row r="1212" spans="1:8" ht="31.5" x14ac:dyDescent="0.2">
      <c r="A1212" s="150" t="s">
        <v>657</v>
      </c>
      <c r="B1212" s="141" t="s">
        <v>1013</v>
      </c>
      <c r="C1212" s="141" t="s">
        <v>992</v>
      </c>
      <c r="D1212" s="171" t="s">
        <v>806</v>
      </c>
      <c r="E1212" s="151" t="s">
        <v>34</v>
      </c>
      <c r="F1212" s="166">
        <f>F1213</f>
        <v>100004.09299999999</v>
      </c>
      <c r="G1212" s="166">
        <f t="shared" ref="G1212:G1213" si="293">G1213</f>
        <v>55473.69629</v>
      </c>
      <c r="H1212" s="131">
        <f t="shared" ref="H1212:H1253" si="294">G1212/F1212*100</f>
        <v>55.471425844540192</v>
      </c>
    </row>
    <row r="1213" spans="1:8" ht="18.75" x14ac:dyDescent="0.2">
      <c r="A1213" s="150" t="s">
        <v>33</v>
      </c>
      <c r="B1213" s="141" t="s">
        <v>1013</v>
      </c>
      <c r="C1213" s="141" t="s">
        <v>992</v>
      </c>
      <c r="D1213" s="171" t="s">
        <v>806</v>
      </c>
      <c r="E1213" s="151">
        <v>410</v>
      </c>
      <c r="F1213" s="166">
        <f>F1214</f>
        <v>100004.09299999999</v>
      </c>
      <c r="G1213" s="166">
        <f t="shared" si="293"/>
        <v>55473.69629</v>
      </c>
      <c r="H1213" s="131">
        <f t="shared" si="294"/>
        <v>55.471425844540192</v>
      </c>
    </row>
    <row r="1214" spans="1:8" s="82" customFormat="1" ht="31.5" hidden="1" x14ac:dyDescent="0.2">
      <c r="A1214" s="19" t="s">
        <v>84</v>
      </c>
      <c r="B1214" s="2" t="s">
        <v>1013</v>
      </c>
      <c r="C1214" s="2" t="s">
        <v>992</v>
      </c>
      <c r="D1214" s="13" t="s">
        <v>806</v>
      </c>
      <c r="E1214" s="5" t="s">
        <v>85</v>
      </c>
      <c r="F1214" s="36">
        <f>40412.883+47441.21+40486.787-28336.787</f>
        <v>100004.09299999999</v>
      </c>
      <c r="G1214" s="36">
        <v>55473.69629</v>
      </c>
      <c r="H1214" s="97">
        <f t="shared" si="294"/>
        <v>55.471425844540192</v>
      </c>
    </row>
    <row r="1215" spans="1:8" ht="47.25" x14ac:dyDescent="0.2">
      <c r="A1215" s="140" t="s">
        <v>61</v>
      </c>
      <c r="B1215" s="148" t="s">
        <v>1013</v>
      </c>
      <c r="C1215" s="148" t="s">
        <v>992</v>
      </c>
      <c r="D1215" s="142" t="str">
        <f>D1216</f>
        <v>01 1 Р2 S2330</v>
      </c>
      <c r="E1215" s="148"/>
      <c r="F1215" s="168">
        <f>F1216</f>
        <v>35003</v>
      </c>
      <c r="G1215" s="168">
        <f>G1216</f>
        <v>35003</v>
      </c>
      <c r="H1215" s="131">
        <f t="shared" si="294"/>
        <v>100</v>
      </c>
    </row>
    <row r="1216" spans="1:8" ht="31.5" x14ac:dyDescent="0.2">
      <c r="A1216" s="145" t="s">
        <v>18</v>
      </c>
      <c r="B1216" s="141" t="s">
        <v>1013</v>
      </c>
      <c r="C1216" s="141" t="s">
        <v>992</v>
      </c>
      <c r="D1216" s="146" t="str">
        <f>D1217</f>
        <v>01 1 Р2 S2330</v>
      </c>
      <c r="E1216" s="159">
        <v>600</v>
      </c>
      <c r="F1216" s="166">
        <f>F1218</f>
        <v>35003</v>
      </c>
      <c r="G1216" s="166">
        <f>G1218</f>
        <v>35003</v>
      </c>
      <c r="H1216" s="131">
        <f t="shared" si="294"/>
        <v>100</v>
      </c>
    </row>
    <row r="1217" spans="1:8" ht="31.5" x14ac:dyDescent="0.2">
      <c r="A1217" s="145" t="s">
        <v>26</v>
      </c>
      <c r="B1217" s="141" t="s">
        <v>1013</v>
      </c>
      <c r="C1217" s="141" t="s">
        <v>992</v>
      </c>
      <c r="D1217" s="146" t="str">
        <f>D1218</f>
        <v>01 1 Р2 S2330</v>
      </c>
      <c r="E1217" s="159">
        <v>630</v>
      </c>
      <c r="F1217" s="166">
        <f>F1218</f>
        <v>35003</v>
      </c>
      <c r="G1217" s="166">
        <f>G1218</f>
        <v>35003</v>
      </c>
      <c r="H1217" s="131">
        <f t="shared" si="294"/>
        <v>100</v>
      </c>
    </row>
    <row r="1218" spans="1:8" s="82" customFormat="1" ht="31.5" hidden="1" x14ac:dyDescent="0.2">
      <c r="A1218" s="3" t="s">
        <v>610</v>
      </c>
      <c r="B1218" s="2" t="s">
        <v>1013</v>
      </c>
      <c r="C1218" s="2" t="s">
        <v>992</v>
      </c>
      <c r="D1218" s="4" t="s">
        <v>925</v>
      </c>
      <c r="E1218" s="9">
        <v>631</v>
      </c>
      <c r="F1218" s="36">
        <f>29652+18329-6231-3852+232+143-1249-2021</f>
        <v>35003</v>
      </c>
      <c r="G1218" s="36">
        <v>35003</v>
      </c>
      <c r="H1218" s="97">
        <f t="shared" si="294"/>
        <v>100</v>
      </c>
    </row>
    <row r="1219" spans="1:8" ht="31.5" x14ac:dyDescent="0.2">
      <c r="A1219" s="132" t="s">
        <v>1048</v>
      </c>
      <c r="B1219" s="133" t="s">
        <v>1013</v>
      </c>
      <c r="C1219" s="133" t="s">
        <v>992</v>
      </c>
      <c r="D1219" s="133" t="s">
        <v>562</v>
      </c>
      <c r="E1219" s="133"/>
      <c r="F1219" s="134">
        <f t="shared" ref="F1219:G1220" si="295">F1220</f>
        <v>6004</v>
      </c>
      <c r="G1219" s="134">
        <f t="shared" si="295"/>
        <v>6002.9945900000002</v>
      </c>
      <c r="H1219" s="131">
        <f t="shared" si="294"/>
        <v>99.983254330446371</v>
      </c>
    </row>
    <row r="1220" spans="1:8" ht="31.5" x14ac:dyDescent="0.2">
      <c r="A1220" s="135" t="s">
        <v>608</v>
      </c>
      <c r="B1220" s="136" t="s">
        <v>1013</v>
      </c>
      <c r="C1220" s="136" t="s">
        <v>992</v>
      </c>
      <c r="D1220" s="137" t="s">
        <v>577</v>
      </c>
      <c r="E1220" s="136"/>
      <c r="F1220" s="138">
        <f t="shared" si="295"/>
        <v>6004</v>
      </c>
      <c r="G1220" s="138">
        <f t="shared" si="295"/>
        <v>6002.9945900000002</v>
      </c>
      <c r="H1220" s="131">
        <f t="shared" si="294"/>
        <v>99.983254330446371</v>
      </c>
    </row>
    <row r="1221" spans="1:8" ht="31.5" x14ac:dyDescent="0.2">
      <c r="A1221" s="132" t="s">
        <v>609</v>
      </c>
      <c r="B1221" s="133" t="s">
        <v>1013</v>
      </c>
      <c r="C1221" s="133" t="s">
        <v>992</v>
      </c>
      <c r="D1221" s="139" t="s">
        <v>578</v>
      </c>
      <c r="E1221" s="133"/>
      <c r="F1221" s="134">
        <f>F1222+F1226</f>
        <v>6004</v>
      </c>
      <c r="G1221" s="134">
        <v>6002.9945900000002</v>
      </c>
      <c r="H1221" s="131">
        <f t="shared" si="294"/>
        <v>99.983254330446371</v>
      </c>
    </row>
    <row r="1222" spans="1:8" ht="47.25" x14ac:dyDescent="0.2">
      <c r="A1222" s="155" t="s">
        <v>584</v>
      </c>
      <c r="B1222" s="148" t="s">
        <v>1013</v>
      </c>
      <c r="C1222" s="148" t="s">
        <v>992</v>
      </c>
      <c r="D1222" s="148" t="s">
        <v>581</v>
      </c>
      <c r="E1222" s="148"/>
      <c r="F1222" s="144">
        <f t="shared" ref="F1222:G1224" si="296">F1223</f>
        <v>3584</v>
      </c>
      <c r="G1222" s="144">
        <f t="shared" si="296"/>
        <v>3584</v>
      </c>
      <c r="H1222" s="131">
        <f t="shared" si="294"/>
        <v>100</v>
      </c>
    </row>
    <row r="1223" spans="1:8" ht="31.5" x14ac:dyDescent="0.2">
      <c r="A1223" s="157" t="s">
        <v>18</v>
      </c>
      <c r="B1223" s="141" t="s">
        <v>1013</v>
      </c>
      <c r="C1223" s="141" t="s">
        <v>992</v>
      </c>
      <c r="D1223" s="141" t="s">
        <v>581</v>
      </c>
      <c r="E1223" s="141" t="s">
        <v>20</v>
      </c>
      <c r="F1223" s="147">
        <f t="shared" si="296"/>
        <v>3584</v>
      </c>
      <c r="G1223" s="147">
        <f t="shared" si="296"/>
        <v>3584</v>
      </c>
      <c r="H1223" s="131">
        <f t="shared" si="294"/>
        <v>100</v>
      </c>
    </row>
    <row r="1224" spans="1:8" ht="18.75" x14ac:dyDescent="0.2">
      <c r="A1224" s="157" t="s">
        <v>24</v>
      </c>
      <c r="B1224" s="141" t="s">
        <v>1013</v>
      </c>
      <c r="C1224" s="141" t="s">
        <v>992</v>
      </c>
      <c r="D1224" s="141" t="s">
        <v>581</v>
      </c>
      <c r="E1224" s="141" t="s">
        <v>25</v>
      </c>
      <c r="F1224" s="147">
        <f t="shared" si="296"/>
        <v>3584</v>
      </c>
      <c r="G1224" s="147">
        <f t="shared" si="296"/>
        <v>3584</v>
      </c>
      <c r="H1224" s="131">
        <f t="shared" si="294"/>
        <v>100</v>
      </c>
    </row>
    <row r="1225" spans="1:8" s="82" customFormat="1" ht="18.75" hidden="1" x14ac:dyDescent="0.2">
      <c r="A1225" s="28" t="s">
        <v>72</v>
      </c>
      <c r="B1225" s="2" t="s">
        <v>1013</v>
      </c>
      <c r="C1225" s="2" t="s">
        <v>992</v>
      </c>
      <c r="D1225" s="2" t="s">
        <v>581</v>
      </c>
      <c r="E1225" s="2" t="s">
        <v>73</v>
      </c>
      <c r="F1225" s="10">
        <v>3584</v>
      </c>
      <c r="G1225" s="10">
        <v>3584</v>
      </c>
      <c r="H1225" s="97">
        <f t="shared" si="294"/>
        <v>100</v>
      </c>
    </row>
    <row r="1226" spans="1:8" ht="18.75" x14ac:dyDescent="0.2">
      <c r="A1226" s="155" t="s">
        <v>582</v>
      </c>
      <c r="B1226" s="148" t="s">
        <v>1013</v>
      </c>
      <c r="C1226" s="148" t="s">
        <v>992</v>
      </c>
      <c r="D1226" s="148" t="s">
        <v>583</v>
      </c>
      <c r="E1226" s="148"/>
      <c r="F1226" s="144">
        <f t="shared" ref="F1226:G1228" si="297">F1227</f>
        <v>2420</v>
      </c>
      <c r="G1226" s="144">
        <f t="shared" si="297"/>
        <v>2418.9945899999998</v>
      </c>
      <c r="H1226" s="131">
        <f t="shared" si="294"/>
        <v>99.958454132231395</v>
      </c>
    </row>
    <row r="1227" spans="1:8" ht="31.5" x14ac:dyDescent="0.2">
      <c r="A1227" s="157" t="s">
        <v>18</v>
      </c>
      <c r="B1227" s="141" t="s">
        <v>1013</v>
      </c>
      <c r="C1227" s="141" t="s">
        <v>992</v>
      </c>
      <c r="D1227" s="141" t="s">
        <v>583</v>
      </c>
      <c r="E1227" s="141" t="s">
        <v>20</v>
      </c>
      <c r="F1227" s="147">
        <f t="shared" si="297"/>
        <v>2420</v>
      </c>
      <c r="G1227" s="147">
        <f t="shared" si="297"/>
        <v>2418.9945899999998</v>
      </c>
      <c r="H1227" s="131">
        <f t="shared" si="294"/>
        <v>99.958454132231395</v>
      </c>
    </row>
    <row r="1228" spans="1:8" ht="18.75" x14ac:dyDescent="0.2">
      <c r="A1228" s="157" t="s">
        <v>24</v>
      </c>
      <c r="B1228" s="141" t="s">
        <v>1013</v>
      </c>
      <c r="C1228" s="141" t="s">
        <v>992</v>
      </c>
      <c r="D1228" s="141" t="s">
        <v>583</v>
      </c>
      <c r="E1228" s="141" t="s">
        <v>25</v>
      </c>
      <c r="F1228" s="147">
        <f t="shared" si="297"/>
        <v>2420</v>
      </c>
      <c r="G1228" s="147">
        <f t="shared" si="297"/>
        <v>2418.9945899999998</v>
      </c>
      <c r="H1228" s="131">
        <f t="shared" si="294"/>
        <v>99.958454132231395</v>
      </c>
    </row>
    <row r="1229" spans="1:8" s="82" customFormat="1" ht="18.75" hidden="1" x14ac:dyDescent="0.2">
      <c r="A1229" s="28" t="s">
        <v>72</v>
      </c>
      <c r="B1229" s="2" t="s">
        <v>1013</v>
      </c>
      <c r="C1229" s="2" t="s">
        <v>992</v>
      </c>
      <c r="D1229" s="2" t="s">
        <v>583</v>
      </c>
      <c r="E1229" s="2" t="s">
        <v>73</v>
      </c>
      <c r="F1229" s="10">
        <v>2420</v>
      </c>
      <c r="G1229" s="10">
        <v>2418.9945899999998</v>
      </c>
      <c r="H1229" s="97">
        <f t="shared" si="294"/>
        <v>99.958454132231395</v>
      </c>
    </row>
    <row r="1230" spans="1:8" ht="31.5" x14ac:dyDescent="0.2">
      <c r="A1230" s="132" t="s">
        <v>889</v>
      </c>
      <c r="B1230" s="133" t="s">
        <v>1013</v>
      </c>
      <c r="C1230" s="133" t="s">
        <v>992</v>
      </c>
      <c r="D1230" s="133" t="s">
        <v>178</v>
      </c>
      <c r="E1230" s="133"/>
      <c r="F1230" s="134">
        <f>F1231</f>
        <v>1118</v>
      </c>
      <c r="G1230" s="134">
        <f t="shared" ref="G1230" si="298">G1231</f>
        <v>1118</v>
      </c>
      <c r="H1230" s="131">
        <f t="shared" si="294"/>
        <v>100</v>
      </c>
    </row>
    <row r="1231" spans="1:8" ht="18.75" x14ac:dyDescent="0.2">
      <c r="A1231" s="135" t="s">
        <v>329</v>
      </c>
      <c r="B1231" s="136" t="s">
        <v>1013</v>
      </c>
      <c r="C1231" s="136" t="s">
        <v>992</v>
      </c>
      <c r="D1231" s="137" t="s">
        <v>331</v>
      </c>
      <c r="E1231" s="136"/>
      <c r="F1231" s="138">
        <f t="shared" ref="F1231:G1231" si="299">F1232</f>
        <v>1118</v>
      </c>
      <c r="G1231" s="138">
        <f t="shared" si="299"/>
        <v>1118</v>
      </c>
      <c r="H1231" s="131">
        <f t="shared" si="294"/>
        <v>100</v>
      </c>
    </row>
    <row r="1232" spans="1:8" ht="47.25" x14ac:dyDescent="0.2">
      <c r="A1232" s="132" t="s">
        <v>332</v>
      </c>
      <c r="B1232" s="133" t="s">
        <v>1013</v>
      </c>
      <c r="C1232" s="133" t="s">
        <v>992</v>
      </c>
      <c r="D1232" s="139" t="s">
        <v>330</v>
      </c>
      <c r="E1232" s="161"/>
      <c r="F1232" s="222">
        <f>F1233</f>
        <v>1118</v>
      </c>
      <c r="G1232" s="222">
        <f>G1233</f>
        <v>1118</v>
      </c>
      <c r="H1232" s="131">
        <f t="shared" si="294"/>
        <v>100</v>
      </c>
    </row>
    <row r="1233" spans="1:8" ht="63" x14ac:dyDescent="0.2">
      <c r="A1233" s="155" t="s">
        <v>435</v>
      </c>
      <c r="B1233" s="148" t="s">
        <v>1013</v>
      </c>
      <c r="C1233" s="148" t="s">
        <v>992</v>
      </c>
      <c r="D1233" s="142" t="s">
        <v>333</v>
      </c>
      <c r="E1233" s="177"/>
      <c r="F1233" s="144">
        <f>F1234</f>
        <v>1118</v>
      </c>
      <c r="G1233" s="144">
        <f t="shared" ref="G1233:G1234" si="300">G1234</f>
        <v>1118</v>
      </c>
      <c r="H1233" s="131">
        <f t="shared" si="294"/>
        <v>100</v>
      </c>
    </row>
    <row r="1234" spans="1:8" ht="31.5" x14ac:dyDescent="0.2">
      <c r="A1234" s="157" t="s">
        <v>18</v>
      </c>
      <c r="B1234" s="141" t="s">
        <v>1013</v>
      </c>
      <c r="C1234" s="141" t="s">
        <v>992</v>
      </c>
      <c r="D1234" s="146" t="s">
        <v>333</v>
      </c>
      <c r="E1234" s="141" t="s">
        <v>20</v>
      </c>
      <c r="F1234" s="147">
        <f>F1235</f>
        <v>1118</v>
      </c>
      <c r="G1234" s="147">
        <f t="shared" si="300"/>
        <v>1118</v>
      </c>
      <c r="H1234" s="131">
        <f t="shared" si="294"/>
        <v>100</v>
      </c>
    </row>
    <row r="1235" spans="1:8" ht="18.75" x14ac:dyDescent="0.2">
      <c r="A1235" s="157" t="s">
        <v>24</v>
      </c>
      <c r="B1235" s="141" t="s">
        <v>1013</v>
      </c>
      <c r="C1235" s="141" t="s">
        <v>992</v>
      </c>
      <c r="D1235" s="146" t="s">
        <v>333</v>
      </c>
      <c r="E1235" s="141" t="s">
        <v>25</v>
      </c>
      <c r="F1235" s="147">
        <f>F1236</f>
        <v>1118</v>
      </c>
      <c r="G1235" s="147">
        <f>G1236</f>
        <v>1118</v>
      </c>
      <c r="H1235" s="131">
        <f t="shared" si="294"/>
        <v>100</v>
      </c>
    </row>
    <row r="1236" spans="1:8" s="82" customFormat="1" ht="18.75" hidden="1" x14ac:dyDescent="0.2">
      <c r="A1236" s="28" t="s">
        <v>72</v>
      </c>
      <c r="B1236" s="2" t="s">
        <v>1013</v>
      </c>
      <c r="C1236" s="2" t="s">
        <v>992</v>
      </c>
      <c r="D1236" s="4" t="s">
        <v>333</v>
      </c>
      <c r="E1236" s="2" t="s">
        <v>73</v>
      </c>
      <c r="F1236" s="10">
        <v>1118</v>
      </c>
      <c r="G1236" s="10">
        <v>1118</v>
      </c>
      <c r="H1236" s="97">
        <f t="shared" si="294"/>
        <v>100</v>
      </c>
    </row>
    <row r="1237" spans="1:8" ht="31.5" x14ac:dyDescent="0.2">
      <c r="A1237" s="132" t="s">
        <v>991</v>
      </c>
      <c r="B1237" s="133" t="s">
        <v>1013</v>
      </c>
      <c r="C1237" s="133" t="s">
        <v>992</v>
      </c>
      <c r="D1237" s="133" t="s">
        <v>156</v>
      </c>
      <c r="E1237" s="170"/>
      <c r="F1237" s="134">
        <f t="shared" ref="F1237:G1241" si="301">F1238</f>
        <v>20</v>
      </c>
      <c r="G1237" s="134">
        <f t="shared" si="301"/>
        <v>20</v>
      </c>
      <c r="H1237" s="131">
        <f t="shared" si="294"/>
        <v>100</v>
      </c>
    </row>
    <row r="1238" spans="1:8" ht="31.5" x14ac:dyDescent="0.2">
      <c r="A1238" s="135" t="s">
        <v>131</v>
      </c>
      <c r="B1238" s="136" t="s">
        <v>1013</v>
      </c>
      <c r="C1238" s="136" t="s">
        <v>992</v>
      </c>
      <c r="D1238" s="137" t="s">
        <v>170</v>
      </c>
      <c r="E1238" s="173"/>
      <c r="F1238" s="138">
        <f t="shared" si="301"/>
        <v>20</v>
      </c>
      <c r="G1238" s="138">
        <f t="shared" si="301"/>
        <v>20</v>
      </c>
      <c r="H1238" s="131">
        <f t="shared" si="294"/>
        <v>100</v>
      </c>
    </row>
    <row r="1239" spans="1:8" ht="18.75" x14ac:dyDescent="0.2">
      <c r="A1239" s="132" t="s">
        <v>556</v>
      </c>
      <c r="B1239" s="133" t="s">
        <v>1013</v>
      </c>
      <c r="C1239" s="133" t="s">
        <v>992</v>
      </c>
      <c r="D1239" s="139" t="s">
        <v>557</v>
      </c>
      <c r="E1239" s="161"/>
      <c r="F1239" s="134">
        <f t="shared" si="301"/>
        <v>20</v>
      </c>
      <c r="G1239" s="134">
        <f t="shared" si="301"/>
        <v>20</v>
      </c>
      <c r="H1239" s="131">
        <f t="shared" si="294"/>
        <v>100</v>
      </c>
    </row>
    <row r="1240" spans="1:8" ht="18.75" x14ac:dyDescent="0.2">
      <c r="A1240" s="140" t="s">
        <v>1025</v>
      </c>
      <c r="B1240" s="148" t="s">
        <v>1013</v>
      </c>
      <c r="C1240" s="148" t="s">
        <v>992</v>
      </c>
      <c r="D1240" s="218" t="s">
        <v>558</v>
      </c>
      <c r="E1240" s="218"/>
      <c r="F1240" s="144">
        <f t="shared" si="301"/>
        <v>20</v>
      </c>
      <c r="G1240" s="144">
        <f t="shared" si="301"/>
        <v>20</v>
      </c>
      <c r="H1240" s="131">
        <f t="shared" si="294"/>
        <v>100</v>
      </c>
    </row>
    <row r="1241" spans="1:8" ht="18.75" x14ac:dyDescent="0.2">
      <c r="A1241" s="145" t="s">
        <v>22</v>
      </c>
      <c r="B1241" s="141" t="s">
        <v>1013</v>
      </c>
      <c r="C1241" s="141" t="s">
        <v>992</v>
      </c>
      <c r="D1241" s="219" t="s">
        <v>558</v>
      </c>
      <c r="E1241" s="141" t="s">
        <v>23</v>
      </c>
      <c r="F1241" s="147">
        <f t="shared" si="301"/>
        <v>20</v>
      </c>
      <c r="G1241" s="147">
        <f t="shared" si="301"/>
        <v>20</v>
      </c>
      <c r="H1241" s="131">
        <f t="shared" si="294"/>
        <v>100</v>
      </c>
    </row>
    <row r="1242" spans="1:8" ht="18.75" x14ac:dyDescent="0.2">
      <c r="A1242" s="145" t="s">
        <v>58</v>
      </c>
      <c r="B1242" s="141" t="s">
        <v>1013</v>
      </c>
      <c r="C1242" s="141" t="s">
        <v>992</v>
      </c>
      <c r="D1242" s="219" t="s">
        <v>558</v>
      </c>
      <c r="E1242" s="141" t="s">
        <v>59</v>
      </c>
      <c r="F1242" s="147">
        <v>20</v>
      </c>
      <c r="G1242" s="147">
        <v>20</v>
      </c>
      <c r="H1242" s="131">
        <f t="shared" si="294"/>
        <v>100</v>
      </c>
    </row>
    <row r="1243" spans="1:8" ht="31.5" x14ac:dyDescent="0.2">
      <c r="A1243" s="132" t="s">
        <v>1059</v>
      </c>
      <c r="B1243" s="133" t="s">
        <v>1013</v>
      </c>
      <c r="C1243" s="133" t="s">
        <v>992</v>
      </c>
      <c r="D1243" s="211" t="s">
        <v>141</v>
      </c>
      <c r="E1243" s="211"/>
      <c r="F1243" s="134">
        <f t="shared" ref="F1243:G1247" si="302">F1244</f>
        <v>423</v>
      </c>
      <c r="G1243" s="134">
        <f t="shared" si="302"/>
        <v>422.89999</v>
      </c>
      <c r="H1243" s="131">
        <f t="shared" si="294"/>
        <v>99.97635697399528</v>
      </c>
    </row>
    <row r="1244" spans="1:8" ht="31.5" x14ac:dyDescent="0.2">
      <c r="A1244" s="132" t="s">
        <v>523</v>
      </c>
      <c r="B1244" s="133" t="s">
        <v>1013</v>
      </c>
      <c r="C1244" s="133" t="s">
        <v>992</v>
      </c>
      <c r="D1244" s="133" t="s">
        <v>147</v>
      </c>
      <c r="E1244" s="133"/>
      <c r="F1244" s="134">
        <f t="shared" si="302"/>
        <v>423</v>
      </c>
      <c r="G1244" s="134">
        <f t="shared" si="302"/>
        <v>422.89999</v>
      </c>
      <c r="H1244" s="131">
        <f t="shared" si="294"/>
        <v>99.97635697399528</v>
      </c>
    </row>
    <row r="1245" spans="1:8" ht="18.75" x14ac:dyDescent="0.2">
      <c r="A1245" s="140" t="s">
        <v>149</v>
      </c>
      <c r="B1245" s="148" t="s">
        <v>1013</v>
      </c>
      <c r="C1245" s="148" t="s">
        <v>992</v>
      </c>
      <c r="D1245" s="148" t="s">
        <v>150</v>
      </c>
      <c r="E1245" s="148"/>
      <c r="F1245" s="144">
        <f t="shared" si="302"/>
        <v>423</v>
      </c>
      <c r="G1245" s="144">
        <f t="shared" si="302"/>
        <v>422.89999</v>
      </c>
      <c r="H1245" s="131">
        <f t="shared" si="294"/>
        <v>99.97635697399528</v>
      </c>
    </row>
    <row r="1246" spans="1:8" ht="31.5" x14ac:dyDescent="0.2">
      <c r="A1246" s="145" t="s">
        <v>18</v>
      </c>
      <c r="B1246" s="141" t="s">
        <v>1013</v>
      </c>
      <c r="C1246" s="141" t="s">
        <v>992</v>
      </c>
      <c r="D1246" s="141" t="s">
        <v>150</v>
      </c>
      <c r="E1246" s="219">
        <v>600</v>
      </c>
      <c r="F1246" s="144">
        <f t="shared" si="302"/>
        <v>423</v>
      </c>
      <c r="G1246" s="144">
        <f t="shared" si="302"/>
        <v>422.89999</v>
      </c>
      <c r="H1246" s="131">
        <f t="shared" si="294"/>
        <v>99.97635697399528</v>
      </c>
    </row>
    <row r="1247" spans="1:8" ht="18.75" x14ac:dyDescent="0.2">
      <c r="A1247" s="145" t="s">
        <v>24</v>
      </c>
      <c r="B1247" s="141" t="s">
        <v>1013</v>
      </c>
      <c r="C1247" s="141" t="s">
        <v>992</v>
      </c>
      <c r="D1247" s="141" t="s">
        <v>150</v>
      </c>
      <c r="E1247" s="219">
        <v>610</v>
      </c>
      <c r="F1247" s="147">
        <f t="shared" si="302"/>
        <v>423</v>
      </c>
      <c r="G1247" s="147">
        <f t="shared" si="302"/>
        <v>422.89999</v>
      </c>
      <c r="H1247" s="131">
        <f t="shared" si="294"/>
        <v>99.97635697399528</v>
      </c>
    </row>
    <row r="1248" spans="1:8" s="82" customFormat="1" ht="18.75" hidden="1" x14ac:dyDescent="0.2">
      <c r="A1248" s="3" t="s">
        <v>72</v>
      </c>
      <c r="B1248" s="2" t="s">
        <v>1013</v>
      </c>
      <c r="C1248" s="2" t="s">
        <v>992</v>
      </c>
      <c r="D1248" s="2" t="s">
        <v>150</v>
      </c>
      <c r="E1248" s="49">
        <v>612</v>
      </c>
      <c r="F1248" s="10">
        <f>445-22</f>
        <v>423</v>
      </c>
      <c r="G1248" s="10">
        <v>422.89999</v>
      </c>
      <c r="H1248" s="97">
        <f t="shared" si="294"/>
        <v>99.97635697399528</v>
      </c>
    </row>
    <row r="1249" spans="1:8" ht="18.75" x14ac:dyDescent="0.2">
      <c r="A1249" s="132" t="s">
        <v>1060</v>
      </c>
      <c r="B1249" s="133" t="s">
        <v>1013</v>
      </c>
      <c r="C1249" s="133" t="s">
        <v>990</v>
      </c>
      <c r="D1249" s="133" t="s">
        <v>1061</v>
      </c>
      <c r="E1249" s="133"/>
      <c r="F1249" s="134">
        <f>F1250+F1438+F1453+F1476+F1470+F1464</f>
        <v>3273782.94674</v>
      </c>
      <c r="G1249" s="134">
        <f>G1250+G1438+G1453+G1476+G1470+G1464</f>
        <v>3226970.0744800004</v>
      </c>
      <c r="H1249" s="131">
        <f t="shared" si="294"/>
        <v>98.570067929927504</v>
      </c>
    </row>
    <row r="1250" spans="1:8" ht="18.75" x14ac:dyDescent="0.2">
      <c r="A1250" s="132" t="s">
        <v>1000</v>
      </c>
      <c r="B1250" s="133" t="s">
        <v>1013</v>
      </c>
      <c r="C1250" s="133" t="s">
        <v>990</v>
      </c>
      <c r="D1250" s="133" t="s">
        <v>214</v>
      </c>
      <c r="E1250" s="133"/>
      <c r="F1250" s="134">
        <f>F1251+F1415</f>
        <v>3242860.94674</v>
      </c>
      <c r="G1250" s="134">
        <f>G1251+G1415</f>
        <v>3196136.0373900002</v>
      </c>
      <c r="H1250" s="131">
        <f t="shared" si="294"/>
        <v>98.559145454664915</v>
      </c>
    </row>
    <row r="1251" spans="1:8" ht="18.75" x14ac:dyDescent="0.2">
      <c r="A1251" s="135" t="s">
        <v>94</v>
      </c>
      <c r="B1251" s="136" t="s">
        <v>1013</v>
      </c>
      <c r="C1251" s="136" t="s">
        <v>990</v>
      </c>
      <c r="D1251" s="137" t="s">
        <v>250</v>
      </c>
      <c r="E1251" s="136"/>
      <c r="F1251" s="138">
        <f>F1252+F1306+F1328+F1338+F1355+F1364+F1369+F1402</f>
        <v>3236258.94674</v>
      </c>
      <c r="G1251" s="138">
        <f>G1252+G1306+G1328+G1338+G1355+G1364+G1369+G1402</f>
        <v>3189541.99749</v>
      </c>
      <c r="H1251" s="131">
        <f t="shared" si="294"/>
        <v>98.556452063359771</v>
      </c>
    </row>
    <row r="1252" spans="1:8" ht="63" x14ac:dyDescent="0.2">
      <c r="A1252" s="154" t="s">
        <v>664</v>
      </c>
      <c r="B1252" s="133" t="s">
        <v>1013</v>
      </c>
      <c r="C1252" s="133" t="s">
        <v>990</v>
      </c>
      <c r="D1252" s="139" t="s">
        <v>225</v>
      </c>
      <c r="E1252" s="161"/>
      <c r="F1252" s="222">
        <f>F1253+F1266+F1270+F1288+F1294</f>
        <v>298540.70958000002</v>
      </c>
      <c r="G1252" s="222">
        <f>G1253+G1266+G1270+G1288+G1294</f>
        <v>275939.22083000001</v>
      </c>
      <c r="H1252" s="131">
        <f t="shared" si="294"/>
        <v>92.429344466355431</v>
      </c>
    </row>
    <row r="1253" spans="1:8" ht="31.5" x14ac:dyDescent="0.2">
      <c r="A1253" s="132" t="s">
        <v>1114</v>
      </c>
      <c r="B1253" s="133" t="s">
        <v>1013</v>
      </c>
      <c r="C1253" s="133" t="s">
        <v>990</v>
      </c>
      <c r="D1253" s="133" t="s">
        <v>468</v>
      </c>
      <c r="E1253" s="133"/>
      <c r="F1253" s="222">
        <f>F1254</f>
        <v>27656</v>
      </c>
      <c r="G1253" s="222">
        <f>G1254</f>
        <v>24017.140960000001</v>
      </c>
      <c r="H1253" s="131">
        <f t="shared" si="294"/>
        <v>86.842424645646517</v>
      </c>
    </row>
    <row r="1254" spans="1:8" ht="31.5" x14ac:dyDescent="0.2">
      <c r="A1254" s="140" t="s">
        <v>576</v>
      </c>
      <c r="B1254" s="148" t="s">
        <v>1013</v>
      </c>
      <c r="C1254" s="148" t="s">
        <v>990</v>
      </c>
      <c r="D1254" s="148" t="s">
        <v>540</v>
      </c>
      <c r="E1254" s="148"/>
      <c r="F1254" s="158">
        <f>F1255+F1260+F1263</f>
        <v>27656</v>
      </c>
      <c r="G1254" s="158">
        <f t="shared" ref="G1254" si="303">G1255+G1260+G1263</f>
        <v>24017.140960000001</v>
      </c>
      <c r="H1254" s="131">
        <f t="shared" ref="H1254:H1302" si="304">G1254/F1254*100</f>
        <v>86.842424645646517</v>
      </c>
    </row>
    <row r="1255" spans="1:8" ht="47.25" x14ac:dyDescent="0.2">
      <c r="A1255" s="145" t="s">
        <v>27</v>
      </c>
      <c r="B1255" s="148" t="s">
        <v>1013</v>
      </c>
      <c r="C1255" s="148" t="s">
        <v>990</v>
      </c>
      <c r="D1255" s="141" t="s">
        <v>540</v>
      </c>
      <c r="E1255" s="141" t="s">
        <v>28</v>
      </c>
      <c r="F1255" s="158">
        <f>F1256</f>
        <v>16567</v>
      </c>
      <c r="G1255" s="158">
        <f>G1256</f>
        <v>15936.733660000002</v>
      </c>
      <c r="H1255" s="131">
        <f t="shared" si="304"/>
        <v>96.195651958713114</v>
      </c>
    </row>
    <row r="1256" spans="1:8" ht="18.75" x14ac:dyDescent="0.2">
      <c r="A1256" s="145" t="s">
        <v>30</v>
      </c>
      <c r="B1256" s="141" t="s">
        <v>1013</v>
      </c>
      <c r="C1256" s="141" t="s">
        <v>990</v>
      </c>
      <c r="D1256" s="141" t="s">
        <v>540</v>
      </c>
      <c r="E1256" s="141" t="s">
        <v>29</v>
      </c>
      <c r="F1256" s="158">
        <f>SUM(F1257:F1259)</f>
        <v>16567</v>
      </c>
      <c r="G1256" s="158">
        <f>SUM(G1257:G1259)</f>
        <v>15936.733660000002</v>
      </c>
      <c r="H1256" s="131">
        <f t="shared" si="304"/>
        <v>96.195651958713114</v>
      </c>
    </row>
    <row r="1257" spans="1:8" s="82" customFormat="1" ht="18.75" hidden="1" x14ac:dyDescent="0.2">
      <c r="A1257" s="3" t="s">
        <v>223</v>
      </c>
      <c r="B1257" s="2" t="s">
        <v>1013</v>
      </c>
      <c r="C1257" s="2" t="s">
        <v>990</v>
      </c>
      <c r="D1257" s="2" t="s">
        <v>540</v>
      </c>
      <c r="E1257" s="2" t="s">
        <v>77</v>
      </c>
      <c r="F1257" s="14">
        <f>7649+159+1860+1225</f>
        <v>10893</v>
      </c>
      <c r="G1257" s="62">
        <v>10752.804840000001</v>
      </c>
      <c r="H1257" s="97">
        <f t="shared" si="304"/>
        <v>98.712979344533196</v>
      </c>
    </row>
    <row r="1258" spans="1:8" s="82" customFormat="1" ht="31.5" hidden="1" x14ac:dyDescent="0.2">
      <c r="A1258" s="3" t="s">
        <v>79</v>
      </c>
      <c r="B1258" s="2" t="s">
        <v>1013</v>
      </c>
      <c r="C1258" s="2" t="s">
        <v>990</v>
      </c>
      <c r="D1258" s="2" t="s">
        <v>540</v>
      </c>
      <c r="E1258" s="2" t="s">
        <v>78</v>
      </c>
      <c r="F1258" s="62">
        <f>1801+179</f>
        <v>1980</v>
      </c>
      <c r="G1258" s="62">
        <v>1943.4825699999999</v>
      </c>
      <c r="H1258" s="97">
        <f t="shared" si="304"/>
        <v>98.155685353535347</v>
      </c>
    </row>
    <row r="1259" spans="1:8" s="82" customFormat="1" ht="31.5" hidden="1" x14ac:dyDescent="0.2">
      <c r="A1259" s="3" t="s">
        <v>137</v>
      </c>
      <c r="B1259" s="2" t="s">
        <v>1013</v>
      </c>
      <c r="C1259" s="2" t="s">
        <v>990</v>
      </c>
      <c r="D1259" s="2" t="s">
        <v>540</v>
      </c>
      <c r="E1259" s="2" t="s">
        <v>136</v>
      </c>
      <c r="F1259" s="14">
        <f>2854+102+562+176</f>
        <v>3694</v>
      </c>
      <c r="G1259" s="62">
        <v>3240.44625</v>
      </c>
      <c r="H1259" s="97">
        <f t="shared" si="304"/>
        <v>87.72188007579858</v>
      </c>
    </row>
    <row r="1260" spans="1:8" ht="18.75" x14ac:dyDescent="0.2">
      <c r="A1260" s="145" t="s">
        <v>871</v>
      </c>
      <c r="B1260" s="141" t="s">
        <v>1013</v>
      </c>
      <c r="C1260" s="141" t="s">
        <v>990</v>
      </c>
      <c r="D1260" s="141" t="s">
        <v>540</v>
      </c>
      <c r="E1260" s="141" t="s">
        <v>15</v>
      </c>
      <c r="F1260" s="158">
        <f t="shared" ref="F1260:G1261" si="305">F1261</f>
        <v>10945</v>
      </c>
      <c r="G1260" s="158">
        <f t="shared" si="305"/>
        <v>8014.0873000000001</v>
      </c>
      <c r="H1260" s="131">
        <f t="shared" si="304"/>
        <v>73.2214463225217</v>
      </c>
    </row>
    <row r="1261" spans="1:8" ht="31.5" x14ac:dyDescent="0.2">
      <c r="A1261" s="145" t="s">
        <v>17</v>
      </c>
      <c r="B1261" s="141" t="s">
        <v>1013</v>
      </c>
      <c r="C1261" s="141" t="s">
        <v>990</v>
      </c>
      <c r="D1261" s="141" t="s">
        <v>540</v>
      </c>
      <c r="E1261" s="141" t="s">
        <v>16</v>
      </c>
      <c r="F1261" s="158">
        <f t="shared" si="305"/>
        <v>10945</v>
      </c>
      <c r="G1261" s="158">
        <f t="shared" si="305"/>
        <v>8014.0873000000001</v>
      </c>
      <c r="H1261" s="131">
        <f t="shared" si="304"/>
        <v>73.2214463225217</v>
      </c>
    </row>
    <row r="1262" spans="1:8" s="82" customFormat="1" ht="18.75" hidden="1" x14ac:dyDescent="0.2">
      <c r="A1262" s="3" t="s">
        <v>548</v>
      </c>
      <c r="B1262" s="2" t="s">
        <v>1013</v>
      </c>
      <c r="C1262" s="2" t="s">
        <v>990</v>
      </c>
      <c r="D1262" s="2" t="s">
        <v>540</v>
      </c>
      <c r="E1262" s="2" t="s">
        <v>67</v>
      </c>
      <c r="F1262" s="14">
        <f>9921-382+1663-257</f>
        <v>10945</v>
      </c>
      <c r="G1262" s="14">
        <v>8014.0873000000001</v>
      </c>
      <c r="H1262" s="97">
        <f t="shared" si="304"/>
        <v>73.2214463225217</v>
      </c>
    </row>
    <row r="1263" spans="1:8" ht="18.75" x14ac:dyDescent="0.2">
      <c r="A1263" s="157" t="s">
        <v>13</v>
      </c>
      <c r="B1263" s="141" t="s">
        <v>1013</v>
      </c>
      <c r="C1263" s="141" t="s">
        <v>990</v>
      </c>
      <c r="D1263" s="141" t="s">
        <v>540</v>
      </c>
      <c r="E1263" s="141" t="s">
        <v>14</v>
      </c>
      <c r="F1263" s="158">
        <f t="shared" ref="F1263:G1264" si="306">F1264</f>
        <v>144</v>
      </c>
      <c r="G1263" s="158">
        <f t="shared" si="306"/>
        <v>66.319999999999993</v>
      </c>
      <c r="H1263" s="131">
        <f t="shared" si="304"/>
        <v>46.05555555555555</v>
      </c>
    </row>
    <row r="1264" spans="1:8" ht="18.75" x14ac:dyDescent="0.2">
      <c r="A1264" s="145" t="s">
        <v>32</v>
      </c>
      <c r="B1264" s="141" t="s">
        <v>1013</v>
      </c>
      <c r="C1264" s="141" t="s">
        <v>990</v>
      </c>
      <c r="D1264" s="141" t="s">
        <v>540</v>
      </c>
      <c r="E1264" s="141" t="s">
        <v>31</v>
      </c>
      <c r="F1264" s="158">
        <f>F1265</f>
        <v>144</v>
      </c>
      <c r="G1264" s="158">
        <f t="shared" si="306"/>
        <v>66.319999999999993</v>
      </c>
      <c r="H1264" s="131">
        <f t="shared" si="304"/>
        <v>46.05555555555555</v>
      </c>
    </row>
    <row r="1265" spans="1:8" s="82" customFormat="1" ht="18.75" hidden="1" x14ac:dyDescent="0.2">
      <c r="A1265" s="3" t="s">
        <v>70</v>
      </c>
      <c r="B1265" s="2" t="s">
        <v>1013</v>
      </c>
      <c r="C1265" s="2" t="s">
        <v>990</v>
      </c>
      <c r="D1265" s="2" t="s">
        <v>540</v>
      </c>
      <c r="E1265" s="2" t="s">
        <v>71</v>
      </c>
      <c r="F1265" s="14">
        <v>144</v>
      </c>
      <c r="G1265" s="14">
        <v>66.319999999999993</v>
      </c>
      <c r="H1265" s="97">
        <f t="shared" si="304"/>
        <v>46.05555555555555</v>
      </c>
    </row>
    <row r="1266" spans="1:8" ht="31.5" x14ac:dyDescent="0.25">
      <c r="A1266" s="260" t="s">
        <v>814</v>
      </c>
      <c r="B1266" s="136" t="s">
        <v>1013</v>
      </c>
      <c r="C1266" s="136" t="s">
        <v>990</v>
      </c>
      <c r="D1266" s="261" t="s">
        <v>821</v>
      </c>
      <c r="E1266" s="261"/>
      <c r="F1266" s="262">
        <f t="shared" ref="F1266:G1268" si="307">F1267</f>
        <v>5400</v>
      </c>
      <c r="G1266" s="263">
        <f t="shared" si="307"/>
        <v>5400</v>
      </c>
      <c r="H1266" s="131">
        <f t="shared" si="304"/>
        <v>100</v>
      </c>
    </row>
    <row r="1267" spans="1:8" ht="31.5" x14ac:dyDescent="0.25">
      <c r="A1267" s="258" t="s">
        <v>18</v>
      </c>
      <c r="B1267" s="141" t="s">
        <v>1013</v>
      </c>
      <c r="C1267" s="141" t="s">
        <v>990</v>
      </c>
      <c r="D1267" s="228" t="s">
        <v>821</v>
      </c>
      <c r="E1267" s="228" t="s">
        <v>20</v>
      </c>
      <c r="F1267" s="264">
        <f t="shared" si="307"/>
        <v>5400</v>
      </c>
      <c r="G1267" s="265">
        <f t="shared" si="307"/>
        <v>5400</v>
      </c>
      <c r="H1267" s="131">
        <f t="shared" si="304"/>
        <v>100</v>
      </c>
    </row>
    <row r="1268" spans="1:8" ht="18.75" x14ac:dyDescent="0.25">
      <c r="A1268" s="258" t="s">
        <v>24</v>
      </c>
      <c r="B1268" s="141" t="s">
        <v>1013</v>
      </c>
      <c r="C1268" s="141" t="s">
        <v>990</v>
      </c>
      <c r="D1268" s="228" t="s">
        <v>821</v>
      </c>
      <c r="E1268" s="228" t="s">
        <v>25</v>
      </c>
      <c r="F1268" s="264">
        <f t="shared" si="307"/>
        <v>5400</v>
      </c>
      <c r="G1268" s="265">
        <f t="shared" si="307"/>
        <v>5400</v>
      </c>
      <c r="H1268" s="131">
        <f t="shared" si="304"/>
        <v>100</v>
      </c>
    </row>
    <row r="1269" spans="1:8" s="82" customFormat="1" ht="18.75" hidden="1" x14ac:dyDescent="0.25">
      <c r="A1269" s="11" t="s">
        <v>72</v>
      </c>
      <c r="B1269" s="2" t="s">
        <v>1013</v>
      </c>
      <c r="C1269" s="2" t="s">
        <v>990</v>
      </c>
      <c r="D1269" s="17" t="s">
        <v>821</v>
      </c>
      <c r="E1269" s="16" t="s">
        <v>73</v>
      </c>
      <c r="F1269" s="83">
        <f>0+5400</f>
        <v>5400</v>
      </c>
      <c r="G1269" s="63">
        <v>5400</v>
      </c>
      <c r="H1269" s="97">
        <f t="shared" si="304"/>
        <v>100</v>
      </c>
    </row>
    <row r="1270" spans="1:8" ht="18.75" x14ac:dyDescent="0.2">
      <c r="A1270" s="175" t="s">
        <v>95</v>
      </c>
      <c r="B1270" s="136" t="s">
        <v>1013</v>
      </c>
      <c r="C1270" s="136" t="s">
        <v>990</v>
      </c>
      <c r="D1270" s="137" t="s">
        <v>226</v>
      </c>
      <c r="E1270" s="136"/>
      <c r="F1270" s="266">
        <f>F1271+F1275+F1279</f>
        <v>113956.70958</v>
      </c>
      <c r="G1270" s="266">
        <f t="shared" ref="G1270" si="308">G1271+G1275+G1279</f>
        <v>95837.438519999996</v>
      </c>
      <c r="H1270" s="131">
        <f t="shared" si="304"/>
        <v>84.09986465318228</v>
      </c>
    </row>
    <row r="1271" spans="1:8" ht="31.5" x14ac:dyDescent="0.2">
      <c r="A1271" s="155" t="s">
        <v>96</v>
      </c>
      <c r="B1271" s="148" t="s">
        <v>1013</v>
      </c>
      <c r="C1271" s="148" t="s">
        <v>990</v>
      </c>
      <c r="D1271" s="142" t="s">
        <v>227</v>
      </c>
      <c r="E1271" s="148"/>
      <c r="F1271" s="267">
        <f>F1272</f>
        <v>47887.709580000002</v>
      </c>
      <c r="G1271" s="267">
        <f t="shared" ref="G1271" si="309">G1272</f>
        <v>47170.378620000003</v>
      </c>
      <c r="H1271" s="131">
        <f t="shared" si="304"/>
        <v>98.502056234697037</v>
      </c>
    </row>
    <row r="1272" spans="1:8" ht="31.5" x14ac:dyDescent="0.2">
      <c r="A1272" s="162" t="s">
        <v>18</v>
      </c>
      <c r="B1272" s="141" t="s">
        <v>1013</v>
      </c>
      <c r="C1272" s="141" t="s">
        <v>990</v>
      </c>
      <c r="D1272" s="268" t="s">
        <v>227</v>
      </c>
      <c r="E1272" s="151" t="s">
        <v>20</v>
      </c>
      <c r="F1272" s="269">
        <f t="shared" ref="F1272:G1273" si="310">F1273</f>
        <v>47887.709580000002</v>
      </c>
      <c r="G1272" s="269">
        <f t="shared" si="310"/>
        <v>47170.378620000003</v>
      </c>
      <c r="H1272" s="131">
        <f t="shared" si="304"/>
        <v>98.502056234697037</v>
      </c>
    </row>
    <row r="1273" spans="1:8" ht="18.75" x14ac:dyDescent="0.2">
      <c r="A1273" s="162" t="s">
        <v>24</v>
      </c>
      <c r="B1273" s="141" t="s">
        <v>1013</v>
      </c>
      <c r="C1273" s="141" t="s">
        <v>990</v>
      </c>
      <c r="D1273" s="268" t="s">
        <v>227</v>
      </c>
      <c r="E1273" s="151" t="s">
        <v>25</v>
      </c>
      <c r="F1273" s="269">
        <f t="shared" si="310"/>
        <v>47887.709580000002</v>
      </c>
      <c r="G1273" s="269">
        <f t="shared" si="310"/>
        <v>47170.378620000003</v>
      </c>
      <c r="H1273" s="131">
        <f t="shared" si="304"/>
        <v>98.502056234697037</v>
      </c>
    </row>
    <row r="1274" spans="1:8" s="82" customFormat="1" ht="18.75" hidden="1" x14ac:dyDescent="0.2">
      <c r="A1274" s="27" t="s">
        <v>72</v>
      </c>
      <c r="B1274" s="2" t="s">
        <v>1013</v>
      </c>
      <c r="C1274" s="2" t="s">
        <v>990</v>
      </c>
      <c r="D1274" s="22" t="s">
        <v>227</v>
      </c>
      <c r="E1274" s="5" t="s">
        <v>73</v>
      </c>
      <c r="F1274" s="63">
        <f>54162-3137.29042-5000-10996+10000-300+1800+1359</f>
        <v>47887.709580000002</v>
      </c>
      <c r="G1274" s="6">
        <v>47170.378620000003</v>
      </c>
      <c r="H1274" s="97">
        <f t="shared" si="304"/>
        <v>98.502056234697037</v>
      </c>
    </row>
    <row r="1275" spans="1:8" ht="18.75" x14ac:dyDescent="0.2">
      <c r="A1275" s="250" t="s">
        <v>97</v>
      </c>
      <c r="B1275" s="148" t="s">
        <v>1013</v>
      </c>
      <c r="C1275" s="148" t="s">
        <v>990</v>
      </c>
      <c r="D1275" s="142" t="s">
        <v>228</v>
      </c>
      <c r="E1275" s="148"/>
      <c r="F1275" s="267">
        <f t="shared" ref="F1275:G1277" si="311">F1276</f>
        <v>62629</v>
      </c>
      <c r="G1275" s="267">
        <f t="shared" si="311"/>
        <v>45264.274899999997</v>
      </c>
      <c r="H1275" s="131">
        <f t="shared" si="304"/>
        <v>72.27366699132989</v>
      </c>
    </row>
    <row r="1276" spans="1:8" ht="31.5" x14ac:dyDescent="0.2">
      <c r="A1276" s="162" t="s">
        <v>18</v>
      </c>
      <c r="B1276" s="148" t="s">
        <v>1013</v>
      </c>
      <c r="C1276" s="148" t="s">
        <v>990</v>
      </c>
      <c r="D1276" s="268" t="s">
        <v>228</v>
      </c>
      <c r="E1276" s="151" t="s">
        <v>20</v>
      </c>
      <c r="F1276" s="269">
        <f t="shared" si="311"/>
        <v>62629</v>
      </c>
      <c r="G1276" s="269">
        <f t="shared" si="311"/>
        <v>45264.274899999997</v>
      </c>
      <c r="H1276" s="131">
        <f t="shared" si="304"/>
        <v>72.27366699132989</v>
      </c>
    </row>
    <row r="1277" spans="1:8" ht="18.75" x14ac:dyDescent="0.2">
      <c r="A1277" s="162" t="s">
        <v>24</v>
      </c>
      <c r="B1277" s="141" t="s">
        <v>1013</v>
      </c>
      <c r="C1277" s="141" t="s">
        <v>990</v>
      </c>
      <c r="D1277" s="268" t="s">
        <v>228</v>
      </c>
      <c r="E1277" s="151" t="s">
        <v>25</v>
      </c>
      <c r="F1277" s="269">
        <f t="shared" si="311"/>
        <v>62629</v>
      </c>
      <c r="G1277" s="269">
        <f t="shared" si="311"/>
        <v>45264.274899999997</v>
      </c>
      <c r="H1277" s="131">
        <f t="shared" si="304"/>
        <v>72.27366699132989</v>
      </c>
    </row>
    <row r="1278" spans="1:8" s="82" customFormat="1" ht="18.75" hidden="1" x14ac:dyDescent="0.2">
      <c r="A1278" s="27" t="s">
        <v>72</v>
      </c>
      <c r="B1278" s="2" t="s">
        <v>1013</v>
      </c>
      <c r="C1278" s="2" t="s">
        <v>990</v>
      </c>
      <c r="D1278" s="22" t="s">
        <v>228</v>
      </c>
      <c r="E1278" s="5" t="s">
        <v>73</v>
      </c>
      <c r="F1278" s="63">
        <f>75217-10000-2400-188</f>
        <v>62629</v>
      </c>
      <c r="G1278" s="6">
        <v>45264.274899999997</v>
      </c>
      <c r="H1278" s="97">
        <f t="shared" si="304"/>
        <v>72.27366699132989</v>
      </c>
    </row>
    <row r="1279" spans="1:8" ht="18.75" x14ac:dyDescent="0.2">
      <c r="A1279" s="155" t="s">
        <v>98</v>
      </c>
      <c r="B1279" s="148" t="s">
        <v>1013</v>
      </c>
      <c r="C1279" s="148" t="s">
        <v>990</v>
      </c>
      <c r="D1279" s="142" t="s">
        <v>229</v>
      </c>
      <c r="E1279" s="148"/>
      <c r="F1279" s="267">
        <f>F1280+F1283+F1285</f>
        <v>3440</v>
      </c>
      <c r="G1279" s="267">
        <f t="shared" ref="G1279" si="312">G1280+G1283+G1285</f>
        <v>3402.7849999999999</v>
      </c>
      <c r="H1279" s="131">
        <f t="shared" si="304"/>
        <v>98.918168604651157</v>
      </c>
    </row>
    <row r="1280" spans="1:8" ht="18.75" x14ac:dyDescent="0.2">
      <c r="A1280" s="145" t="s">
        <v>871</v>
      </c>
      <c r="B1280" s="148" t="s">
        <v>1013</v>
      </c>
      <c r="C1280" s="148" t="s">
        <v>990</v>
      </c>
      <c r="D1280" s="268" t="s">
        <v>229</v>
      </c>
      <c r="E1280" s="151" t="s">
        <v>15</v>
      </c>
      <c r="F1280" s="269">
        <f t="shared" ref="F1280:G1281" si="313">F1281</f>
        <v>160</v>
      </c>
      <c r="G1280" s="269">
        <f t="shared" si="313"/>
        <v>160</v>
      </c>
      <c r="H1280" s="131">
        <f t="shared" si="304"/>
        <v>100</v>
      </c>
    </row>
    <row r="1281" spans="1:8" ht="31.5" x14ac:dyDescent="0.2">
      <c r="A1281" s="162" t="s">
        <v>17</v>
      </c>
      <c r="B1281" s="141" t="s">
        <v>1013</v>
      </c>
      <c r="C1281" s="141" t="s">
        <v>990</v>
      </c>
      <c r="D1281" s="268" t="s">
        <v>229</v>
      </c>
      <c r="E1281" s="151" t="s">
        <v>16</v>
      </c>
      <c r="F1281" s="269">
        <f t="shared" si="313"/>
        <v>160</v>
      </c>
      <c r="G1281" s="269">
        <f t="shared" si="313"/>
        <v>160</v>
      </c>
      <c r="H1281" s="131">
        <f t="shared" si="304"/>
        <v>100</v>
      </c>
    </row>
    <row r="1282" spans="1:8" s="82" customFormat="1" ht="18.75" hidden="1" x14ac:dyDescent="0.2">
      <c r="A1282" s="28" t="s">
        <v>548</v>
      </c>
      <c r="B1282" s="2" t="s">
        <v>1013</v>
      </c>
      <c r="C1282" s="2" t="s">
        <v>990</v>
      </c>
      <c r="D1282" s="22" t="s">
        <v>229</v>
      </c>
      <c r="E1282" s="2" t="s">
        <v>67</v>
      </c>
      <c r="F1282" s="6">
        <f>660-500</f>
        <v>160</v>
      </c>
      <c r="G1282" s="6">
        <f>660-500</f>
        <v>160</v>
      </c>
      <c r="H1282" s="97">
        <f t="shared" si="304"/>
        <v>100</v>
      </c>
    </row>
    <row r="1283" spans="1:8" ht="18.75" x14ac:dyDescent="0.2">
      <c r="A1283" s="145" t="s">
        <v>22</v>
      </c>
      <c r="B1283" s="141" t="s">
        <v>1013</v>
      </c>
      <c r="C1283" s="141" t="s">
        <v>990</v>
      </c>
      <c r="D1283" s="268" t="s">
        <v>229</v>
      </c>
      <c r="E1283" s="141" t="s">
        <v>23</v>
      </c>
      <c r="F1283" s="269">
        <f>F1284</f>
        <v>830</v>
      </c>
      <c r="G1283" s="269">
        <f>G1284</f>
        <v>829.83500000000004</v>
      </c>
      <c r="H1283" s="131">
        <f t="shared" si="304"/>
        <v>99.980120481927713</v>
      </c>
    </row>
    <row r="1284" spans="1:8" ht="18.75" x14ac:dyDescent="0.2">
      <c r="A1284" s="157" t="s">
        <v>448</v>
      </c>
      <c r="B1284" s="148" t="s">
        <v>1013</v>
      </c>
      <c r="C1284" s="148" t="s">
        <v>990</v>
      </c>
      <c r="D1284" s="268" t="s">
        <v>229</v>
      </c>
      <c r="E1284" s="141" t="s">
        <v>447</v>
      </c>
      <c r="F1284" s="269">
        <f>650+180</f>
        <v>830</v>
      </c>
      <c r="G1284" s="269">
        <v>829.83500000000004</v>
      </c>
      <c r="H1284" s="131">
        <f t="shared" si="304"/>
        <v>99.980120481927713</v>
      </c>
    </row>
    <row r="1285" spans="1:8" ht="31.5" x14ac:dyDescent="0.2">
      <c r="A1285" s="162" t="s">
        <v>18</v>
      </c>
      <c r="B1285" s="141" t="s">
        <v>1013</v>
      </c>
      <c r="C1285" s="141" t="s">
        <v>990</v>
      </c>
      <c r="D1285" s="268" t="s">
        <v>229</v>
      </c>
      <c r="E1285" s="151" t="s">
        <v>20</v>
      </c>
      <c r="F1285" s="269">
        <f t="shared" ref="F1285:G1286" si="314">F1286</f>
        <v>2450</v>
      </c>
      <c r="G1285" s="269">
        <f t="shared" si="314"/>
        <v>2412.9499999999998</v>
      </c>
      <c r="H1285" s="131">
        <f t="shared" si="304"/>
        <v>98.487755102040808</v>
      </c>
    </row>
    <row r="1286" spans="1:8" ht="18.75" x14ac:dyDescent="0.2">
      <c r="A1286" s="162" t="s">
        <v>24</v>
      </c>
      <c r="B1286" s="141" t="s">
        <v>1013</v>
      </c>
      <c r="C1286" s="141" t="s">
        <v>990</v>
      </c>
      <c r="D1286" s="268" t="s">
        <v>229</v>
      </c>
      <c r="E1286" s="151" t="s">
        <v>25</v>
      </c>
      <c r="F1286" s="269">
        <f t="shared" si="314"/>
        <v>2450</v>
      </c>
      <c r="G1286" s="269">
        <f t="shared" si="314"/>
        <v>2412.9499999999998</v>
      </c>
      <c r="H1286" s="131">
        <f t="shared" si="304"/>
        <v>98.487755102040808</v>
      </c>
    </row>
    <row r="1287" spans="1:8" s="82" customFormat="1" ht="18.75" hidden="1" x14ac:dyDescent="0.2">
      <c r="A1287" s="27" t="s">
        <v>72</v>
      </c>
      <c r="B1287" s="2" t="s">
        <v>1013</v>
      </c>
      <c r="C1287" s="2" t="s">
        <v>990</v>
      </c>
      <c r="D1287" s="22" t="s">
        <v>229</v>
      </c>
      <c r="E1287" s="5" t="s">
        <v>73</v>
      </c>
      <c r="F1287" s="6">
        <f>2640-190</f>
        <v>2450</v>
      </c>
      <c r="G1287" s="6">
        <v>2412.9499999999998</v>
      </c>
      <c r="H1287" s="97">
        <f t="shared" si="304"/>
        <v>98.487755102040808</v>
      </c>
    </row>
    <row r="1288" spans="1:8" ht="94.5" x14ac:dyDescent="0.2">
      <c r="A1288" s="175" t="s">
        <v>599</v>
      </c>
      <c r="B1288" s="136" t="s">
        <v>1013</v>
      </c>
      <c r="C1288" s="136" t="s">
        <v>990</v>
      </c>
      <c r="D1288" s="137" t="s">
        <v>230</v>
      </c>
      <c r="E1288" s="136"/>
      <c r="F1288" s="266">
        <f t="shared" ref="F1288:G1288" si="315">F1289</f>
        <v>149324</v>
      </c>
      <c r="G1288" s="266">
        <f t="shared" si="315"/>
        <v>149324</v>
      </c>
      <c r="H1288" s="131">
        <f t="shared" si="304"/>
        <v>100</v>
      </c>
    </row>
    <row r="1289" spans="1:8" ht="31.5" x14ac:dyDescent="0.2">
      <c r="A1289" s="162" t="s">
        <v>18</v>
      </c>
      <c r="B1289" s="148" t="s">
        <v>1013</v>
      </c>
      <c r="C1289" s="148" t="s">
        <v>990</v>
      </c>
      <c r="D1289" s="268" t="s">
        <v>230</v>
      </c>
      <c r="E1289" s="151" t="s">
        <v>20</v>
      </c>
      <c r="F1289" s="158">
        <f t="shared" ref="F1289:G1289" si="316">F1290+F1292</f>
        <v>149324</v>
      </c>
      <c r="G1289" s="158">
        <f t="shared" si="316"/>
        <v>149324</v>
      </c>
      <c r="H1289" s="131">
        <f t="shared" si="304"/>
        <v>100</v>
      </c>
    </row>
    <row r="1290" spans="1:8" ht="18.75" x14ac:dyDescent="0.2">
      <c r="A1290" s="162" t="s">
        <v>24</v>
      </c>
      <c r="B1290" s="141" t="s">
        <v>1013</v>
      </c>
      <c r="C1290" s="141" t="s">
        <v>990</v>
      </c>
      <c r="D1290" s="268" t="s">
        <v>230</v>
      </c>
      <c r="E1290" s="151" t="s">
        <v>25</v>
      </c>
      <c r="F1290" s="158">
        <f t="shared" ref="F1290:G1290" si="317">F1291</f>
        <v>141530.29199999999</v>
      </c>
      <c r="G1290" s="158">
        <f t="shared" si="317"/>
        <v>141530.29199999999</v>
      </c>
      <c r="H1290" s="131">
        <f t="shared" si="304"/>
        <v>100</v>
      </c>
    </row>
    <row r="1291" spans="1:8" s="82" customFormat="1" ht="18.75" hidden="1" x14ac:dyDescent="0.2">
      <c r="A1291" s="27" t="s">
        <v>72</v>
      </c>
      <c r="B1291" s="2" t="s">
        <v>1013</v>
      </c>
      <c r="C1291" s="2" t="s">
        <v>990</v>
      </c>
      <c r="D1291" s="22" t="s">
        <v>230</v>
      </c>
      <c r="E1291" s="5" t="s">
        <v>73</v>
      </c>
      <c r="F1291" s="14">
        <f>134321+1478.292+5731</f>
        <v>141530.29199999999</v>
      </c>
      <c r="G1291" s="14">
        <v>141530.29199999999</v>
      </c>
      <c r="H1291" s="97">
        <f t="shared" si="304"/>
        <v>100</v>
      </c>
    </row>
    <row r="1292" spans="1:8" ht="31.5" x14ac:dyDescent="0.2">
      <c r="A1292" s="162" t="s">
        <v>26</v>
      </c>
      <c r="B1292" s="141" t="s">
        <v>1013</v>
      </c>
      <c r="C1292" s="141" t="s">
        <v>990</v>
      </c>
      <c r="D1292" s="268" t="s">
        <v>230</v>
      </c>
      <c r="E1292" s="151" t="s">
        <v>0</v>
      </c>
      <c r="F1292" s="158">
        <f t="shared" ref="F1292:G1292" si="318">F1293</f>
        <v>7793.7080000000005</v>
      </c>
      <c r="G1292" s="158">
        <f t="shared" si="318"/>
        <v>7793.7079999999996</v>
      </c>
      <c r="H1292" s="131">
        <f t="shared" si="304"/>
        <v>99.999999999999986</v>
      </c>
    </row>
    <row r="1293" spans="1:8" s="82" customFormat="1" ht="31.5" hidden="1" x14ac:dyDescent="0.2">
      <c r="A1293" s="28" t="s">
        <v>610</v>
      </c>
      <c r="B1293" s="12" t="s">
        <v>1013</v>
      </c>
      <c r="C1293" s="12" t="s">
        <v>990</v>
      </c>
      <c r="D1293" s="22" t="s">
        <v>230</v>
      </c>
      <c r="E1293" s="24">
        <v>631</v>
      </c>
      <c r="F1293" s="14">
        <f>9272-1478.292</f>
        <v>7793.7080000000005</v>
      </c>
      <c r="G1293" s="14">
        <v>7793.7079999999996</v>
      </c>
      <c r="H1293" s="97">
        <f t="shared" si="304"/>
        <v>99.999999999999986</v>
      </c>
    </row>
    <row r="1294" spans="1:8" ht="47.25" x14ac:dyDescent="0.25">
      <c r="A1294" s="167" t="s">
        <v>850</v>
      </c>
      <c r="B1294" s="148" t="s">
        <v>1013</v>
      </c>
      <c r="C1294" s="148" t="s">
        <v>990</v>
      </c>
      <c r="D1294" s="148" t="s">
        <v>851</v>
      </c>
      <c r="E1294" s="148"/>
      <c r="F1294" s="183">
        <f>F1295+F1300+F1303</f>
        <v>2204</v>
      </c>
      <c r="G1294" s="183">
        <f t="shared" ref="G1294" si="319">G1295+G1300+G1303</f>
        <v>1360.6413500000001</v>
      </c>
      <c r="H1294" s="131">
        <f t="shared" si="304"/>
        <v>61.735088475499097</v>
      </c>
    </row>
    <row r="1295" spans="1:8" ht="47.25" x14ac:dyDescent="0.25">
      <c r="A1295" s="165" t="s">
        <v>27</v>
      </c>
      <c r="B1295" s="148" t="s">
        <v>1013</v>
      </c>
      <c r="C1295" s="148" t="s">
        <v>990</v>
      </c>
      <c r="D1295" s="141" t="s">
        <v>851</v>
      </c>
      <c r="E1295" s="141" t="s">
        <v>28</v>
      </c>
      <c r="F1295" s="160">
        <f>F1296</f>
        <v>1369</v>
      </c>
      <c r="G1295" s="160">
        <f>G1296</f>
        <v>1070.3522400000002</v>
      </c>
      <c r="H1295" s="131">
        <f t="shared" si="304"/>
        <v>78.184970051132225</v>
      </c>
    </row>
    <row r="1296" spans="1:8" ht="18.75" x14ac:dyDescent="0.25">
      <c r="A1296" s="165" t="s">
        <v>30</v>
      </c>
      <c r="B1296" s="141" t="s">
        <v>1013</v>
      </c>
      <c r="C1296" s="141" t="s">
        <v>990</v>
      </c>
      <c r="D1296" s="141" t="s">
        <v>851</v>
      </c>
      <c r="E1296" s="141" t="s">
        <v>29</v>
      </c>
      <c r="F1296" s="160">
        <f>SUM(F1297:F1299)</f>
        <v>1369</v>
      </c>
      <c r="G1296" s="160">
        <f>SUM(G1297:G1299)</f>
        <v>1070.3522400000002</v>
      </c>
      <c r="H1296" s="131">
        <f t="shared" si="304"/>
        <v>78.184970051132225</v>
      </c>
    </row>
    <row r="1297" spans="1:8" s="82" customFormat="1" ht="18.75" hidden="1" x14ac:dyDescent="0.25">
      <c r="A1297" s="8" t="s">
        <v>223</v>
      </c>
      <c r="B1297" s="2" t="s">
        <v>1013</v>
      </c>
      <c r="C1297" s="2" t="s">
        <v>990</v>
      </c>
      <c r="D1297" s="2" t="s">
        <v>851</v>
      </c>
      <c r="E1297" s="2" t="s">
        <v>77</v>
      </c>
      <c r="F1297" s="14">
        <f>1097+1005-565-641+29</f>
        <v>925</v>
      </c>
      <c r="G1297" s="62">
        <v>714.62216000000001</v>
      </c>
      <c r="H1297" s="97">
        <f t="shared" si="304"/>
        <v>77.256449729729724</v>
      </c>
    </row>
    <row r="1298" spans="1:8" s="82" customFormat="1" ht="31.5" hidden="1" x14ac:dyDescent="0.25">
      <c r="A1298" s="8" t="s">
        <v>79</v>
      </c>
      <c r="B1298" s="2" t="s">
        <v>1013</v>
      </c>
      <c r="C1298" s="2" t="s">
        <v>990</v>
      </c>
      <c r="D1298" s="2" t="s">
        <v>851</v>
      </c>
      <c r="E1298" s="2" t="s">
        <v>78</v>
      </c>
      <c r="F1298" s="14">
        <f>360+360+36-294-329</f>
        <v>133</v>
      </c>
      <c r="G1298" s="62">
        <v>132.03100000000001</v>
      </c>
      <c r="H1298" s="97">
        <f t="shared" si="304"/>
        <v>99.271428571428572</v>
      </c>
    </row>
    <row r="1299" spans="1:8" s="82" customFormat="1" ht="31.5" hidden="1" x14ac:dyDescent="0.25">
      <c r="A1299" s="8" t="s">
        <v>137</v>
      </c>
      <c r="B1299" s="2" t="s">
        <v>1013</v>
      </c>
      <c r="C1299" s="2" t="s">
        <v>990</v>
      </c>
      <c r="D1299" s="2" t="s">
        <v>851</v>
      </c>
      <c r="E1299" s="2" t="s">
        <v>136</v>
      </c>
      <c r="F1299" s="14">
        <f>412+440+11-259-299+6</f>
        <v>311</v>
      </c>
      <c r="G1299" s="62">
        <v>223.69908000000001</v>
      </c>
      <c r="H1299" s="97">
        <f t="shared" si="304"/>
        <v>71.928964630225082</v>
      </c>
    </row>
    <row r="1300" spans="1:8" ht="18.75" x14ac:dyDescent="0.2">
      <c r="A1300" s="145" t="s">
        <v>871</v>
      </c>
      <c r="B1300" s="141" t="s">
        <v>1013</v>
      </c>
      <c r="C1300" s="141" t="s">
        <v>990</v>
      </c>
      <c r="D1300" s="141" t="s">
        <v>851</v>
      </c>
      <c r="E1300" s="141" t="s">
        <v>15</v>
      </c>
      <c r="F1300" s="160">
        <f t="shared" ref="F1300:G1301" si="320">F1301</f>
        <v>792</v>
      </c>
      <c r="G1300" s="160">
        <f t="shared" si="320"/>
        <v>285.67410999999998</v>
      </c>
      <c r="H1300" s="131">
        <f t="shared" si="304"/>
        <v>36.069963383838385</v>
      </c>
    </row>
    <row r="1301" spans="1:8" ht="31.5" x14ac:dyDescent="0.25">
      <c r="A1301" s="165" t="s">
        <v>17</v>
      </c>
      <c r="B1301" s="141" t="s">
        <v>1013</v>
      </c>
      <c r="C1301" s="141" t="s">
        <v>990</v>
      </c>
      <c r="D1301" s="141" t="s">
        <v>851</v>
      </c>
      <c r="E1301" s="141" t="s">
        <v>16</v>
      </c>
      <c r="F1301" s="160">
        <f t="shared" si="320"/>
        <v>792</v>
      </c>
      <c r="G1301" s="160">
        <f t="shared" si="320"/>
        <v>285.67410999999998</v>
      </c>
      <c r="H1301" s="131">
        <f t="shared" si="304"/>
        <v>36.069963383838385</v>
      </c>
    </row>
    <row r="1302" spans="1:8" s="82" customFormat="1" ht="18.75" hidden="1" x14ac:dyDescent="0.25">
      <c r="A1302" s="8" t="s">
        <v>548</v>
      </c>
      <c r="B1302" s="2" t="s">
        <v>1013</v>
      </c>
      <c r="C1302" s="2" t="s">
        <v>990</v>
      </c>
      <c r="D1302" s="2" t="s">
        <v>851</v>
      </c>
      <c r="E1302" s="2" t="s">
        <v>67</v>
      </c>
      <c r="F1302" s="14">
        <f>2895+280+45-1153-191-1000-84</f>
        <v>792</v>
      </c>
      <c r="G1302" s="62">
        <v>285.67410999999998</v>
      </c>
      <c r="H1302" s="97">
        <f t="shared" si="304"/>
        <v>36.069963383838385</v>
      </c>
    </row>
    <row r="1303" spans="1:8" ht="18.75" x14ac:dyDescent="0.25">
      <c r="A1303" s="181" t="s">
        <v>13</v>
      </c>
      <c r="B1303" s="141" t="s">
        <v>1013</v>
      </c>
      <c r="C1303" s="141" t="s">
        <v>990</v>
      </c>
      <c r="D1303" s="141" t="s">
        <v>851</v>
      </c>
      <c r="E1303" s="141" t="s">
        <v>14</v>
      </c>
      <c r="F1303" s="160">
        <f t="shared" ref="F1303:G1304" si="321">F1304</f>
        <v>43</v>
      </c>
      <c r="G1303" s="160">
        <f t="shared" si="321"/>
        <v>4.6150000000000002</v>
      </c>
      <c r="H1303" s="131">
        <f t="shared" ref="H1303:H1343" si="322">G1303/F1303*100</f>
        <v>10.732558139534884</v>
      </c>
    </row>
    <row r="1304" spans="1:8" ht="18.75" x14ac:dyDescent="0.25">
      <c r="A1304" s="165" t="s">
        <v>32</v>
      </c>
      <c r="B1304" s="141" t="s">
        <v>1013</v>
      </c>
      <c r="C1304" s="141" t="s">
        <v>990</v>
      </c>
      <c r="D1304" s="141" t="s">
        <v>851</v>
      </c>
      <c r="E1304" s="141" t="s">
        <v>31</v>
      </c>
      <c r="F1304" s="160">
        <f t="shared" si="321"/>
        <v>43</v>
      </c>
      <c r="G1304" s="160">
        <f t="shared" si="321"/>
        <v>4.6150000000000002</v>
      </c>
      <c r="H1304" s="131">
        <f t="shared" si="322"/>
        <v>10.732558139534884</v>
      </c>
    </row>
    <row r="1305" spans="1:8" s="82" customFormat="1" ht="18.75" hidden="1" x14ac:dyDescent="0.25">
      <c r="A1305" s="8" t="s">
        <v>70</v>
      </c>
      <c r="B1305" s="2" t="s">
        <v>1013</v>
      </c>
      <c r="C1305" s="2" t="s">
        <v>990</v>
      </c>
      <c r="D1305" s="2" t="s">
        <v>851</v>
      </c>
      <c r="E1305" s="2" t="s">
        <v>71</v>
      </c>
      <c r="F1305" s="62">
        <f>43</f>
        <v>43</v>
      </c>
      <c r="G1305" s="62">
        <v>4.6150000000000002</v>
      </c>
      <c r="H1305" s="97">
        <f t="shared" si="322"/>
        <v>10.732558139534884</v>
      </c>
    </row>
    <row r="1306" spans="1:8" ht="31.5" x14ac:dyDescent="0.2">
      <c r="A1306" s="154" t="s">
        <v>665</v>
      </c>
      <c r="B1306" s="133" t="s">
        <v>1013</v>
      </c>
      <c r="C1306" s="133" t="s">
        <v>990</v>
      </c>
      <c r="D1306" s="139" t="s">
        <v>231</v>
      </c>
      <c r="E1306" s="141"/>
      <c r="F1306" s="222">
        <f>F1307+F1312+F1316+F1320+F1324</f>
        <v>2627578</v>
      </c>
      <c r="G1306" s="222">
        <f>G1307+G1312+G1316+G1320+G1324</f>
        <v>2619210.6321300003</v>
      </c>
      <c r="H1306" s="131">
        <f t="shared" si="322"/>
        <v>99.681555871224376</v>
      </c>
    </row>
    <row r="1307" spans="1:8" ht="18.75" x14ac:dyDescent="0.2">
      <c r="A1307" s="175" t="s">
        <v>95</v>
      </c>
      <c r="B1307" s="136" t="s">
        <v>1013</v>
      </c>
      <c r="C1307" s="136" t="s">
        <v>990</v>
      </c>
      <c r="D1307" s="137" t="s">
        <v>232</v>
      </c>
      <c r="E1307" s="136"/>
      <c r="F1307" s="222">
        <f>F1308</f>
        <v>17237</v>
      </c>
      <c r="G1307" s="222">
        <f>G1308</f>
        <v>17236.927500000002</v>
      </c>
      <c r="H1307" s="131">
        <f t="shared" si="322"/>
        <v>99.999579393165874</v>
      </c>
    </row>
    <row r="1308" spans="1:8" ht="31.5" x14ac:dyDescent="0.25">
      <c r="A1308" s="167" t="s">
        <v>861</v>
      </c>
      <c r="B1308" s="148" t="s">
        <v>1013</v>
      </c>
      <c r="C1308" s="148" t="s">
        <v>990</v>
      </c>
      <c r="D1308" s="142" t="s">
        <v>862</v>
      </c>
      <c r="E1308" s="148"/>
      <c r="F1308" s="270">
        <f t="shared" ref="F1308:G1310" si="323">F1309</f>
        <v>17237</v>
      </c>
      <c r="G1308" s="270">
        <f t="shared" si="323"/>
        <v>17236.927500000002</v>
      </c>
      <c r="H1308" s="131">
        <f t="shared" si="322"/>
        <v>99.999579393165874</v>
      </c>
    </row>
    <row r="1309" spans="1:8" ht="31.5" x14ac:dyDescent="0.25">
      <c r="A1309" s="247" t="s">
        <v>18</v>
      </c>
      <c r="B1309" s="141" t="s">
        <v>1013</v>
      </c>
      <c r="C1309" s="141" t="s">
        <v>990</v>
      </c>
      <c r="D1309" s="268" t="s">
        <v>862</v>
      </c>
      <c r="E1309" s="151" t="s">
        <v>20</v>
      </c>
      <c r="F1309" s="271">
        <f t="shared" si="323"/>
        <v>17237</v>
      </c>
      <c r="G1309" s="271">
        <f t="shared" si="323"/>
        <v>17236.927500000002</v>
      </c>
      <c r="H1309" s="131">
        <f t="shared" si="322"/>
        <v>99.999579393165874</v>
      </c>
    </row>
    <row r="1310" spans="1:8" ht="18.75" x14ac:dyDescent="0.25">
      <c r="A1310" s="247" t="s">
        <v>24</v>
      </c>
      <c r="B1310" s="141" t="s">
        <v>1013</v>
      </c>
      <c r="C1310" s="141" t="s">
        <v>990</v>
      </c>
      <c r="D1310" s="268" t="s">
        <v>862</v>
      </c>
      <c r="E1310" s="151" t="s">
        <v>25</v>
      </c>
      <c r="F1310" s="265">
        <f t="shared" si="323"/>
        <v>17237</v>
      </c>
      <c r="G1310" s="264">
        <f t="shared" si="323"/>
        <v>17236.927500000002</v>
      </c>
      <c r="H1310" s="131">
        <f t="shared" si="322"/>
        <v>99.999579393165874</v>
      </c>
    </row>
    <row r="1311" spans="1:8" s="82" customFormat="1" ht="18.75" hidden="1" x14ac:dyDescent="0.25">
      <c r="A1311" s="7" t="s">
        <v>72</v>
      </c>
      <c r="B1311" s="2" t="s">
        <v>1013</v>
      </c>
      <c r="C1311" s="2" t="s">
        <v>990</v>
      </c>
      <c r="D1311" s="22" t="s">
        <v>862</v>
      </c>
      <c r="E1311" s="5" t="s">
        <v>73</v>
      </c>
      <c r="F1311" s="85">
        <f>0+23215-5978</f>
        <v>17237</v>
      </c>
      <c r="G1311" s="83">
        <v>17236.927500000002</v>
      </c>
      <c r="H1311" s="97">
        <f t="shared" si="322"/>
        <v>99.999579393165874</v>
      </c>
    </row>
    <row r="1312" spans="1:8" ht="141.75" x14ac:dyDescent="0.2">
      <c r="A1312" s="175" t="s">
        <v>597</v>
      </c>
      <c r="B1312" s="136" t="s">
        <v>1013</v>
      </c>
      <c r="C1312" s="136" t="s">
        <v>990</v>
      </c>
      <c r="D1312" s="137" t="s">
        <v>666</v>
      </c>
      <c r="E1312" s="136"/>
      <c r="F1312" s="266">
        <f>F1313</f>
        <v>2018158</v>
      </c>
      <c r="G1312" s="266">
        <f>G1313</f>
        <v>2011910.25612</v>
      </c>
      <c r="H1312" s="131">
        <f t="shared" si="322"/>
        <v>99.69042345148398</v>
      </c>
    </row>
    <row r="1313" spans="1:8" ht="31.5" x14ac:dyDescent="0.2">
      <c r="A1313" s="162" t="s">
        <v>18</v>
      </c>
      <c r="B1313" s="141" t="s">
        <v>1013</v>
      </c>
      <c r="C1313" s="141" t="s">
        <v>990</v>
      </c>
      <c r="D1313" s="146" t="s">
        <v>666</v>
      </c>
      <c r="E1313" s="151" t="s">
        <v>20</v>
      </c>
      <c r="F1313" s="147">
        <f t="shared" ref="F1313:G1313" si="324">F1315</f>
        <v>2018158</v>
      </c>
      <c r="G1313" s="147">
        <f t="shared" si="324"/>
        <v>2011910.25612</v>
      </c>
      <c r="H1313" s="131">
        <f t="shared" si="322"/>
        <v>99.69042345148398</v>
      </c>
    </row>
    <row r="1314" spans="1:8" ht="18.75" x14ac:dyDescent="0.2">
      <c r="A1314" s="162" t="s">
        <v>24</v>
      </c>
      <c r="B1314" s="141" t="s">
        <v>1013</v>
      </c>
      <c r="C1314" s="141" t="s">
        <v>990</v>
      </c>
      <c r="D1314" s="146" t="s">
        <v>666</v>
      </c>
      <c r="E1314" s="151" t="s">
        <v>25</v>
      </c>
      <c r="F1314" s="147">
        <f t="shared" ref="F1314:G1314" si="325">F1315</f>
        <v>2018158</v>
      </c>
      <c r="G1314" s="147">
        <f t="shared" si="325"/>
        <v>2011910.25612</v>
      </c>
      <c r="H1314" s="131">
        <f t="shared" si="322"/>
        <v>99.69042345148398</v>
      </c>
    </row>
    <row r="1315" spans="1:8" s="82" customFormat="1" ht="47.25" hidden="1" x14ac:dyDescent="0.2">
      <c r="A1315" s="28" t="s">
        <v>88</v>
      </c>
      <c r="B1315" s="2" t="s">
        <v>1013</v>
      </c>
      <c r="C1315" s="2" t="s">
        <v>990</v>
      </c>
      <c r="D1315" s="4" t="s">
        <v>666</v>
      </c>
      <c r="E1315" s="2" t="s">
        <v>89</v>
      </c>
      <c r="F1315" s="14">
        <f>1991413-15815+15815+386+5731+20628</f>
        <v>2018158</v>
      </c>
      <c r="G1315" s="14">
        <v>2011910.25612</v>
      </c>
      <c r="H1315" s="97">
        <f t="shared" si="322"/>
        <v>99.69042345148398</v>
      </c>
    </row>
    <row r="1316" spans="1:8" ht="126" x14ac:dyDescent="0.2">
      <c r="A1316" s="175" t="s">
        <v>598</v>
      </c>
      <c r="B1316" s="136" t="s">
        <v>1013</v>
      </c>
      <c r="C1316" s="136" t="s">
        <v>990</v>
      </c>
      <c r="D1316" s="137" t="s">
        <v>667</v>
      </c>
      <c r="E1316" s="136"/>
      <c r="F1316" s="266">
        <f t="shared" ref="F1316:G1318" si="326">F1317</f>
        <v>196100</v>
      </c>
      <c r="G1316" s="266">
        <f t="shared" si="326"/>
        <v>196100</v>
      </c>
      <c r="H1316" s="131">
        <f t="shared" si="322"/>
        <v>100</v>
      </c>
    </row>
    <row r="1317" spans="1:8" ht="31.5" x14ac:dyDescent="0.2">
      <c r="A1317" s="162" t="s">
        <v>18</v>
      </c>
      <c r="B1317" s="141" t="s">
        <v>1013</v>
      </c>
      <c r="C1317" s="141" t="s">
        <v>990</v>
      </c>
      <c r="D1317" s="146" t="s">
        <v>667</v>
      </c>
      <c r="E1317" s="272">
        <v>600</v>
      </c>
      <c r="F1317" s="147">
        <f t="shared" si="326"/>
        <v>196100</v>
      </c>
      <c r="G1317" s="147">
        <f t="shared" si="326"/>
        <v>196100</v>
      </c>
      <c r="H1317" s="131">
        <f t="shared" si="322"/>
        <v>100</v>
      </c>
    </row>
    <row r="1318" spans="1:8" ht="31.5" x14ac:dyDescent="0.2">
      <c r="A1318" s="162" t="s">
        <v>26</v>
      </c>
      <c r="B1318" s="141" t="s">
        <v>1013</v>
      </c>
      <c r="C1318" s="141" t="s">
        <v>990</v>
      </c>
      <c r="D1318" s="146" t="s">
        <v>667</v>
      </c>
      <c r="E1318" s="272">
        <v>630</v>
      </c>
      <c r="F1318" s="147">
        <f t="shared" si="326"/>
        <v>196100</v>
      </c>
      <c r="G1318" s="147">
        <f t="shared" si="326"/>
        <v>196100</v>
      </c>
      <c r="H1318" s="131">
        <f t="shared" si="322"/>
        <v>100</v>
      </c>
    </row>
    <row r="1319" spans="1:8" s="82" customFormat="1" ht="31.5" hidden="1" x14ac:dyDescent="0.2">
      <c r="A1319" s="28" t="s">
        <v>610</v>
      </c>
      <c r="B1319" s="2" t="s">
        <v>1013</v>
      </c>
      <c r="C1319" s="2" t="s">
        <v>990</v>
      </c>
      <c r="D1319" s="4" t="s">
        <v>667</v>
      </c>
      <c r="E1319" s="24">
        <v>631</v>
      </c>
      <c r="F1319" s="10">
        <f>209808-7993-5715</f>
        <v>196100</v>
      </c>
      <c r="G1319" s="10">
        <v>196100</v>
      </c>
      <c r="H1319" s="97">
        <f t="shared" si="322"/>
        <v>100</v>
      </c>
    </row>
    <row r="1320" spans="1:8" ht="31.5" x14ac:dyDescent="0.2">
      <c r="A1320" s="155" t="s">
        <v>99</v>
      </c>
      <c r="B1320" s="148" t="s">
        <v>1013</v>
      </c>
      <c r="C1320" s="148" t="s">
        <v>990</v>
      </c>
      <c r="D1320" s="142" t="s">
        <v>668</v>
      </c>
      <c r="E1320" s="148"/>
      <c r="F1320" s="156">
        <f t="shared" ref="F1320:G1322" si="327">F1321</f>
        <v>393983</v>
      </c>
      <c r="G1320" s="156">
        <f t="shared" si="327"/>
        <v>393963.44851000002</v>
      </c>
      <c r="H1320" s="131">
        <f t="shared" si="322"/>
        <v>99.995037478774478</v>
      </c>
    </row>
    <row r="1321" spans="1:8" ht="31.5" x14ac:dyDescent="0.2">
      <c r="A1321" s="162" t="s">
        <v>18</v>
      </c>
      <c r="B1321" s="141" t="s">
        <v>1013</v>
      </c>
      <c r="C1321" s="141" t="s">
        <v>990</v>
      </c>
      <c r="D1321" s="141" t="s">
        <v>668</v>
      </c>
      <c r="E1321" s="141" t="s">
        <v>20</v>
      </c>
      <c r="F1321" s="158">
        <f t="shared" si="327"/>
        <v>393983</v>
      </c>
      <c r="G1321" s="158">
        <f t="shared" si="327"/>
        <v>393963.44851000002</v>
      </c>
      <c r="H1321" s="131">
        <f t="shared" si="322"/>
        <v>99.995037478774478</v>
      </c>
    </row>
    <row r="1322" spans="1:8" ht="18.75" x14ac:dyDescent="0.2">
      <c r="A1322" s="157" t="s">
        <v>24</v>
      </c>
      <c r="B1322" s="141" t="s">
        <v>1013</v>
      </c>
      <c r="C1322" s="141" t="s">
        <v>990</v>
      </c>
      <c r="D1322" s="141" t="s">
        <v>668</v>
      </c>
      <c r="E1322" s="141" t="s">
        <v>25</v>
      </c>
      <c r="F1322" s="158">
        <f>F1323</f>
        <v>393983</v>
      </c>
      <c r="G1322" s="158">
        <f t="shared" si="327"/>
        <v>393963.44851000002</v>
      </c>
      <c r="H1322" s="131">
        <f t="shared" si="322"/>
        <v>99.995037478774478</v>
      </c>
    </row>
    <row r="1323" spans="1:8" s="82" customFormat="1" ht="47.25" hidden="1" x14ac:dyDescent="0.2">
      <c r="A1323" s="28" t="s">
        <v>88</v>
      </c>
      <c r="B1323" s="2" t="s">
        <v>1013</v>
      </c>
      <c r="C1323" s="2" t="s">
        <v>990</v>
      </c>
      <c r="D1323" s="2" t="s">
        <v>668</v>
      </c>
      <c r="E1323" s="2" t="s">
        <v>89</v>
      </c>
      <c r="F1323" s="62">
        <f>418893-1700-23215-5376-5156+1906+5355+159-2200+5410-93</f>
        <v>393983</v>
      </c>
      <c r="G1323" s="14">
        <v>393963.44851000002</v>
      </c>
      <c r="H1323" s="97">
        <f t="shared" si="322"/>
        <v>99.995037478774478</v>
      </c>
    </row>
    <row r="1324" spans="1:8" ht="47.25" x14ac:dyDescent="0.25">
      <c r="A1324" s="273" t="s">
        <v>852</v>
      </c>
      <c r="B1324" s="136" t="s">
        <v>1013</v>
      </c>
      <c r="C1324" s="136" t="s">
        <v>990</v>
      </c>
      <c r="D1324" s="137" t="s">
        <v>853</v>
      </c>
      <c r="E1324" s="136"/>
      <c r="F1324" s="179">
        <f t="shared" ref="F1324:G1326" si="328">F1325</f>
        <v>2100</v>
      </c>
      <c r="G1324" s="179">
        <f t="shared" si="328"/>
        <v>0</v>
      </c>
      <c r="H1324" s="131">
        <f t="shared" si="322"/>
        <v>0</v>
      </c>
    </row>
    <row r="1325" spans="1:8" ht="18.75" x14ac:dyDescent="0.2">
      <c r="A1325" s="145" t="s">
        <v>871</v>
      </c>
      <c r="B1325" s="141" t="s">
        <v>1013</v>
      </c>
      <c r="C1325" s="141" t="s">
        <v>990</v>
      </c>
      <c r="D1325" s="146" t="s">
        <v>853</v>
      </c>
      <c r="E1325" s="141" t="s">
        <v>15</v>
      </c>
      <c r="F1325" s="166">
        <f t="shared" si="328"/>
        <v>2100</v>
      </c>
      <c r="G1325" s="166">
        <f t="shared" si="328"/>
        <v>0</v>
      </c>
      <c r="H1325" s="131">
        <f t="shared" si="322"/>
        <v>0</v>
      </c>
    </row>
    <row r="1326" spans="1:8" ht="31.5" x14ac:dyDescent="0.25">
      <c r="A1326" s="165" t="s">
        <v>17</v>
      </c>
      <c r="B1326" s="141" t="s">
        <v>1013</v>
      </c>
      <c r="C1326" s="141" t="s">
        <v>990</v>
      </c>
      <c r="D1326" s="146" t="s">
        <v>853</v>
      </c>
      <c r="E1326" s="141" t="s">
        <v>16</v>
      </c>
      <c r="F1326" s="166">
        <f t="shared" si="328"/>
        <v>2100</v>
      </c>
      <c r="G1326" s="166">
        <f t="shared" si="328"/>
        <v>0</v>
      </c>
      <c r="H1326" s="131">
        <f t="shared" si="322"/>
        <v>0</v>
      </c>
    </row>
    <row r="1327" spans="1:8" s="82" customFormat="1" ht="18.75" hidden="1" x14ac:dyDescent="0.25">
      <c r="A1327" s="8" t="s">
        <v>548</v>
      </c>
      <c r="B1327" s="2" t="s">
        <v>1013</v>
      </c>
      <c r="C1327" s="2" t="s">
        <v>990</v>
      </c>
      <c r="D1327" s="4" t="s">
        <v>853</v>
      </c>
      <c r="E1327" s="2" t="s">
        <v>67</v>
      </c>
      <c r="F1327" s="62">
        <f>1680+420</f>
        <v>2100</v>
      </c>
      <c r="G1327" s="62">
        <v>0</v>
      </c>
      <c r="H1327" s="97">
        <f t="shared" si="322"/>
        <v>0</v>
      </c>
    </row>
    <row r="1328" spans="1:8" ht="47.25" x14ac:dyDescent="0.2">
      <c r="A1328" s="154" t="s">
        <v>669</v>
      </c>
      <c r="B1328" s="133" t="s">
        <v>1013</v>
      </c>
      <c r="C1328" s="133" t="s">
        <v>990</v>
      </c>
      <c r="D1328" s="139" t="s">
        <v>670</v>
      </c>
      <c r="E1328" s="141"/>
      <c r="F1328" s="222">
        <f>F1329</f>
        <v>16705</v>
      </c>
      <c r="G1328" s="222">
        <f t="shared" ref="G1328:G1329" si="329">G1329</f>
        <v>16384.008900000001</v>
      </c>
      <c r="H1328" s="131">
        <f t="shared" si="322"/>
        <v>98.078472912301706</v>
      </c>
    </row>
    <row r="1329" spans="1:8" ht="18.75" x14ac:dyDescent="0.2">
      <c r="A1329" s="175" t="s">
        <v>95</v>
      </c>
      <c r="B1329" s="136" t="s">
        <v>1013</v>
      </c>
      <c r="C1329" s="136" t="s">
        <v>990</v>
      </c>
      <c r="D1329" s="137" t="s">
        <v>671</v>
      </c>
      <c r="E1329" s="141"/>
      <c r="F1329" s="266">
        <f>F1330</f>
        <v>16705</v>
      </c>
      <c r="G1329" s="266">
        <f t="shared" si="329"/>
        <v>16384.008900000001</v>
      </c>
      <c r="H1329" s="131">
        <f t="shared" si="322"/>
        <v>98.078472912301706</v>
      </c>
    </row>
    <row r="1330" spans="1:8" ht="18.75" x14ac:dyDescent="0.2">
      <c r="A1330" s="155" t="s">
        <v>98</v>
      </c>
      <c r="B1330" s="148" t="s">
        <v>1013</v>
      </c>
      <c r="C1330" s="148" t="s">
        <v>990</v>
      </c>
      <c r="D1330" s="142" t="s">
        <v>672</v>
      </c>
      <c r="E1330" s="148"/>
      <c r="F1330" s="267">
        <f>F1331+F1335</f>
        <v>16705</v>
      </c>
      <c r="G1330" s="156">
        <f t="shared" ref="G1330" si="330">G1331+G1335</f>
        <v>16384.008900000001</v>
      </c>
      <c r="H1330" s="131">
        <f t="shared" si="322"/>
        <v>98.078472912301706</v>
      </c>
    </row>
    <row r="1331" spans="1:8" ht="18.75" x14ac:dyDescent="0.2">
      <c r="A1331" s="145" t="s">
        <v>871</v>
      </c>
      <c r="B1331" s="141" t="s">
        <v>1013</v>
      </c>
      <c r="C1331" s="141" t="s">
        <v>990</v>
      </c>
      <c r="D1331" s="268" t="s">
        <v>672</v>
      </c>
      <c r="E1331" s="151" t="s">
        <v>15</v>
      </c>
      <c r="F1331" s="269">
        <f t="shared" ref="F1331:G1331" si="331">F1332</f>
        <v>700</v>
      </c>
      <c r="G1331" s="158">
        <f t="shared" si="331"/>
        <v>699.27499999999998</v>
      </c>
      <c r="H1331" s="131">
        <f t="shared" si="322"/>
        <v>99.896428571428558</v>
      </c>
    </row>
    <row r="1332" spans="1:8" ht="31.5" x14ac:dyDescent="0.2">
      <c r="A1332" s="162" t="s">
        <v>17</v>
      </c>
      <c r="B1332" s="141" t="s">
        <v>1013</v>
      </c>
      <c r="C1332" s="141" t="s">
        <v>990</v>
      </c>
      <c r="D1332" s="268" t="s">
        <v>672</v>
      </c>
      <c r="E1332" s="151" t="s">
        <v>16</v>
      </c>
      <c r="F1332" s="269">
        <f>F1333+F1334</f>
        <v>700</v>
      </c>
      <c r="G1332" s="158">
        <f t="shared" ref="G1332" si="332">G1333+G1334</f>
        <v>699.27499999999998</v>
      </c>
      <c r="H1332" s="131">
        <f t="shared" si="322"/>
        <v>99.896428571428558</v>
      </c>
    </row>
    <row r="1333" spans="1:8" s="82" customFormat="1" ht="31.5" hidden="1" x14ac:dyDescent="0.25">
      <c r="A1333" s="20" t="s">
        <v>367</v>
      </c>
      <c r="B1333" s="2" t="s">
        <v>1013</v>
      </c>
      <c r="C1333" s="2" t="s">
        <v>990</v>
      </c>
      <c r="D1333" s="22" t="s">
        <v>672</v>
      </c>
      <c r="E1333" s="2" t="s">
        <v>368</v>
      </c>
      <c r="F1333" s="6">
        <f>0+221</f>
        <v>221</v>
      </c>
      <c r="G1333" s="6">
        <v>220.27500000000001</v>
      </c>
      <c r="H1333" s="97">
        <f t="shared" si="322"/>
        <v>99.671945701357473</v>
      </c>
    </row>
    <row r="1334" spans="1:8" s="82" customFormat="1" ht="18.75" hidden="1" x14ac:dyDescent="0.2">
      <c r="A1334" s="28" t="s">
        <v>548</v>
      </c>
      <c r="B1334" s="2" t="s">
        <v>1013</v>
      </c>
      <c r="C1334" s="2" t="s">
        <v>990</v>
      </c>
      <c r="D1334" s="22" t="s">
        <v>672</v>
      </c>
      <c r="E1334" s="2" t="s">
        <v>67</v>
      </c>
      <c r="F1334" s="6">
        <f>700-221</f>
        <v>479</v>
      </c>
      <c r="G1334" s="6">
        <v>479</v>
      </c>
      <c r="H1334" s="97">
        <f t="shared" si="322"/>
        <v>100</v>
      </c>
    </row>
    <row r="1335" spans="1:8" ht="31.5" x14ac:dyDescent="0.2">
      <c r="A1335" s="162" t="s">
        <v>18</v>
      </c>
      <c r="B1335" s="141" t="s">
        <v>1013</v>
      </c>
      <c r="C1335" s="141" t="s">
        <v>990</v>
      </c>
      <c r="D1335" s="268" t="s">
        <v>672</v>
      </c>
      <c r="E1335" s="151" t="s">
        <v>20</v>
      </c>
      <c r="F1335" s="269">
        <f t="shared" ref="F1335:G1336" si="333">F1336</f>
        <v>16005</v>
      </c>
      <c r="G1335" s="269">
        <f t="shared" si="333"/>
        <v>15684.733899999999</v>
      </c>
      <c r="H1335" s="131">
        <f t="shared" si="322"/>
        <v>97.998962199312714</v>
      </c>
    </row>
    <row r="1336" spans="1:8" ht="18.75" x14ac:dyDescent="0.2">
      <c r="A1336" s="162" t="s">
        <v>24</v>
      </c>
      <c r="B1336" s="141" t="s">
        <v>1013</v>
      </c>
      <c r="C1336" s="141" t="s">
        <v>990</v>
      </c>
      <c r="D1336" s="268" t="s">
        <v>672</v>
      </c>
      <c r="E1336" s="151" t="s">
        <v>25</v>
      </c>
      <c r="F1336" s="269">
        <f t="shared" si="333"/>
        <v>16005</v>
      </c>
      <c r="G1336" s="269">
        <f t="shared" si="333"/>
        <v>15684.733899999999</v>
      </c>
      <c r="H1336" s="131">
        <f t="shared" si="322"/>
        <v>97.998962199312714</v>
      </c>
    </row>
    <row r="1337" spans="1:8" s="82" customFormat="1" ht="18.75" hidden="1" x14ac:dyDescent="0.2">
      <c r="A1337" s="27" t="s">
        <v>72</v>
      </c>
      <c r="B1337" s="2" t="s">
        <v>1013</v>
      </c>
      <c r="C1337" s="2" t="s">
        <v>990</v>
      </c>
      <c r="D1337" s="22" t="s">
        <v>672</v>
      </c>
      <c r="E1337" s="5" t="s">
        <v>73</v>
      </c>
      <c r="F1337" s="6">
        <v>16005</v>
      </c>
      <c r="G1337" s="6">
        <v>15684.733899999999</v>
      </c>
      <c r="H1337" s="97">
        <f t="shared" si="322"/>
        <v>97.998962199312714</v>
      </c>
    </row>
    <row r="1338" spans="1:8" ht="31.5" x14ac:dyDescent="0.2">
      <c r="A1338" s="154" t="s">
        <v>673</v>
      </c>
      <c r="B1338" s="133" t="s">
        <v>1013</v>
      </c>
      <c r="C1338" s="133" t="s">
        <v>990</v>
      </c>
      <c r="D1338" s="139" t="s">
        <v>674</v>
      </c>
      <c r="E1338" s="141"/>
      <c r="F1338" s="222">
        <f>F1339+F1343+F1348</f>
        <v>205022</v>
      </c>
      <c r="G1338" s="222">
        <f>G1339+G1343+G1348</f>
        <v>203433.70627</v>
      </c>
      <c r="H1338" s="131">
        <f t="shared" si="322"/>
        <v>99.225305708655654</v>
      </c>
    </row>
    <row r="1339" spans="1:8" ht="31.5" x14ac:dyDescent="0.25">
      <c r="A1339" s="274" t="s">
        <v>809</v>
      </c>
      <c r="B1339" s="136" t="s">
        <v>1013</v>
      </c>
      <c r="C1339" s="136" t="s">
        <v>990</v>
      </c>
      <c r="D1339" s="137" t="s">
        <v>808</v>
      </c>
      <c r="E1339" s="148"/>
      <c r="F1339" s="179">
        <f t="shared" ref="F1339:G1341" si="334">F1340</f>
        <v>20000</v>
      </c>
      <c r="G1339" s="179">
        <f t="shared" si="334"/>
        <v>20000</v>
      </c>
      <c r="H1339" s="131">
        <f t="shared" si="322"/>
        <v>100</v>
      </c>
    </row>
    <row r="1340" spans="1:8" ht="31.5" x14ac:dyDescent="0.25">
      <c r="A1340" s="258" t="s">
        <v>18</v>
      </c>
      <c r="B1340" s="141" t="s">
        <v>1013</v>
      </c>
      <c r="C1340" s="141" t="s">
        <v>990</v>
      </c>
      <c r="D1340" s="146" t="s">
        <v>808</v>
      </c>
      <c r="E1340" s="151" t="s">
        <v>20</v>
      </c>
      <c r="F1340" s="166">
        <f t="shared" si="334"/>
        <v>20000</v>
      </c>
      <c r="G1340" s="275">
        <f t="shared" si="334"/>
        <v>20000</v>
      </c>
      <c r="H1340" s="131">
        <f t="shared" si="322"/>
        <v>100</v>
      </c>
    </row>
    <row r="1341" spans="1:8" ht="18.75" x14ac:dyDescent="0.25">
      <c r="A1341" s="258" t="s">
        <v>24</v>
      </c>
      <c r="B1341" s="141" t="s">
        <v>1013</v>
      </c>
      <c r="C1341" s="141" t="s">
        <v>990</v>
      </c>
      <c r="D1341" s="146" t="s">
        <v>808</v>
      </c>
      <c r="E1341" s="151" t="s">
        <v>25</v>
      </c>
      <c r="F1341" s="166">
        <f t="shared" si="334"/>
        <v>20000</v>
      </c>
      <c r="G1341" s="275">
        <f t="shared" si="334"/>
        <v>20000</v>
      </c>
      <c r="H1341" s="131">
        <f t="shared" si="322"/>
        <v>100</v>
      </c>
    </row>
    <row r="1342" spans="1:8" s="82" customFormat="1" ht="18.75" hidden="1" x14ac:dyDescent="0.25">
      <c r="A1342" s="11" t="s">
        <v>72</v>
      </c>
      <c r="B1342" s="2" t="s">
        <v>1013</v>
      </c>
      <c r="C1342" s="2" t="s">
        <v>990</v>
      </c>
      <c r="D1342" s="4" t="s">
        <v>808</v>
      </c>
      <c r="E1342" s="5" t="s">
        <v>73</v>
      </c>
      <c r="F1342" s="62">
        <f>0+20000</f>
        <v>20000</v>
      </c>
      <c r="G1342" s="63">
        <v>20000</v>
      </c>
      <c r="H1342" s="97">
        <f t="shared" si="322"/>
        <v>100</v>
      </c>
    </row>
    <row r="1343" spans="1:8" ht="31.5" x14ac:dyDescent="0.2">
      <c r="A1343" s="157" t="s">
        <v>124</v>
      </c>
      <c r="B1343" s="141" t="s">
        <v>1013</v>
      </c>
      <c r="C1343" s="141" t="s">
        <v>990</v>
      </c>
      <c r="D1343" s="146" t="s">
        <v>675</v>
      </c>
      <c r="E1343" s="141"/>
      <c r="F1343" s="158">
        <f>F1344</f>
        <v>92022</v>
      </c>
      <c r="G1343" s="158">
        <f>G1344</f>
        <v>90433.706269999995</v>
      </c>
      <c r="H1343" s="131">
        <f t="shared" si="322"/>
        <v>98.274006509312983</v>
      </c>
    </row>
    <row r="1344" spans="1:8" ht="47.25" x14ac:dyDescent="0.2">
      <c r="A1344" s="276" t="s">
        <v>545</v>
      </c>
      <c r="B1344" s="148" t="s">
        <v>1013</v>
      </c>
      <c r="C1344" s="148" t="s">
        <v>990</v>
      </c>
      <c r="D1344" s="142" t="s">
        <v>676</v>
      </c>
      <c r="E1344" s="148"/>
      <c r="F1344" s="267">
        <f t="shared" ref="F1344:G1346" si="335">F1345</f>
        <v>92022</v>
      </c>
      <c r="G1344" s="156">
        <f t="shared" si="335"/>
        <v>90433.706269999995</v>
      </c>
      <c r="H1344" s="131">
        <f t="shared" ref="H1344:H1364" si="336">G1344/F1344*100</f>
        <v>98.274006509312983</v>
      </c>
    </row>
    <row r="1345" spans="1:8" ht="31.5" x14ac:dyDescent="0.2">
      <c r="A1345" s="145" t="s">
        <v>657</v>
      </c>
      <c r="B1345" s="148" t="s">
        <v>1013</v>
      </c>
      <c r="C1345" s="148" t="s">
        <v>990</v>
      </c>
      <c r="D1345" s="146" t="s">
        <v>676</v>
      </c>
      <c r="E1345" s="151" t="s">
        <v>34</v>
      </c>
      <c r="F1345" s="158">
        <f t="shared" si="335"/>
        <v>92022</v>
      </c>
      <c r="G1345" s="158">
        <f t="shared" si="335"/>
        <v>90433.706269999995</v>
      </c>
      <c r="H1345" s="131">
        <f t="shared" si="336"/>
        <v>98.274006509312983</v>
      </c>
    </row>
    <row r="1346" spans="1:8" ht="18.75" x14ac:dyDescent="0.2">
      <c r="A1346" s="145" t="s">
        <v>33</v>
      </c>
      <c r="B1346" s="141" t="s">
        <v>1013</v>
      </c>
      <c r="C1346" s="141" t="s">
        <v>990</v>
      </c>
      <c r="D1346" s="146" t="s">
        <v>676</v>
      </c>
      <c r="E1346" s="151">
        <v>410</v>
      </c>
      <c r="F1346" s="158">
        <f t="shared" si="335"/>
        <v>92022</v>
      </c>
      <c r="G1346" s="158">
        <f t="shared" si="335"/>
        <v>90433.706269999995</v>
      </c>
      <c r="H1346" s="131">
        <f t="shared" si="336"/>
        <v>98.274006509312983</v>
      </c>
    </row>
    <row r="1347" spans="1:8" s="82" customFormat="1" ht="31.5" hidden="1" x14ac:dyDescent="0.2">
      <c r="A1347" s="3" t="s">
        <v>84</v>
      </c>
      <c r="B1347" s="2" t="s">
        <v>1013</v>
      </c>
      <c r="C1347" s="2" t="s">
        <v>990</v>
      </c>
      <c r="D1347" s="4" t="s">
        <v>676</v>
      </c>
      <c r="E1347" s="5" t="s">
        <v>85</v>
      </c>
      <c r="F1347" s="62">
        <f>15000+86422-53000+43000-43000+43600</f>
        <v>92022</v>
      </c>
      <c r="G1347" s="14">
        <v>90433.706269999995</v>
      </c>
      <c r="H1347" s="97">
        <f t="shared" si="336"/>
        <v>98.274006509312983</v>
      </c>
    </row>
    <row r="1348" spans="1:8" ht="31.5" x14ac:dyDescent="0.25">
      <c r="A1348" s="274" t="s">
        <v>811</v>
      </c>
      <c r="B1348" s="136" t="s">
        <v>1013</v>
      </c>
      <c r="C1348" s="136" t="s">
        <v>990</v>
      </c>
      <c r="D1348" s="137" t="s">
        <v>810</v>
      </c>
      <c r="E1348" s="148"/>
      <c r="F1348" s="179">
        <f>F1349+F1352</f>
        <v>93000</v>
      </c>
      <c r="G1348" s="179">
        <f t="shared" ref="G1348" si="337">G1349+G1352</f>
        <v>93000</v>
      </c>
      <c r="H1348" s="131">
        <f t="shared" si="336"/>
        <v>100</v>
      </c>
    </row>
    <row r="1349" spans="1:8" ht="31.5" x14ac:dyDescent="0.25">
      <c r="A1349" s="258" t="s">
        <v>493</v>
      </c>
      <c r="B1349" s="141" t="s">
        <v>1013</v>
      </c>
      <c r="C1349" s="141" t="s">
        <v>990</v>
      </c>
      <c r="D1349" s="146" t="s">
        <v>810</v>
      </c>
      <c r="E1349" s="151" t="s">
        <v>34</v>
      </c>
      <c r="F1349" s="160">
        <f>F1350</f>
        <v>47694.375769999999</v>
      </c>
      <c r="G1349" s="160">
        <f t="shared" ref="G1349:G1350" si="338">G1350</f>
        <v>47694.375769999999</v>
      </c>
      <c r="H1349" s="131">
        <f t="shared" si="336"/>
        <v>100</v>
      </c>
    </row>
    <row r="1350" spans="1:8" ht="18.75" x14ac:dyDescent="0.25">
      <c r="A1350" s="258" t="s">
        <v>33</v>
      </c>
      <c r="B1350" s="141" t="s">
        <v>1013</v>
      </c>
      <c r="C1350" s="141" t="s">
        <v>990</v>
      </c>
      <c r="D1350" s="146" t="s">
        <v>810</v>
      </c>
      <c r="E1350" s="151">
        <v>410</v>
      </c>
      <c r="F1350" s="160">
        <f>F1351</f>
        <v>47694.375769999999</v>
      </c>
      <c r="G1350" s="160">
        <f t="shared" si="338"/>
        <v>47694.375769999999</v>
      </c>
      <c r="H1350" s="131">
        <f t="shared" si="336"/>
        <v>100</v>
      </c>
    </row>
    <row r="1351" spans="1:8" s="82" customFormat="1" ht="31.5" hidden="1" x14ac:dyDescent="0.25">
      <c r="A1351" s="11" t="s">
        <v>84</v>
      </c>
      <c r="B1351" s="2" t="s">
        <v>1013</v>
      </c>
      <c r="C1351" s="2" t="s">
        <v>990</v>
      </c>
      <c r="D1351" s="4" t="s">
        <v>810</v>
      </c>
      <c r="E1351" s="5" t="s">
        <v>85</v>
      </c>
      <c r="F1351" s="14">
        <f>0+53000-5305.62423</f>
        <v>47694.375769999999</v>
      </c>
      <c r="G1351" s="62">
        <v>47694.375769999999</v>
      </c>
      <c r="H1351" s="97">
        <f t="shared" si="336"/>
        <v>100</v>
      </c>
    </row>
    <row r="1352" spans="1:8" ht="31.5" x14ac:dyDescent="0.25">
      <c r="A1352" s="258" t="s">
        <v>18</v>
      </c>
      <c r="B1352" s="141" t="s">
        <v>1013</v>
      </c>
      <c r="C1352" s="141" t="s">
        <v>990</v>
      </c>
      <c r="D1352" s="146" t="s">
        <v>810</v>
      </c>
      <c r="E1352" s="151" t="s">
        <v>20</v>
      </c>
      <c r="F1352" s="166">
        <f t="shared" ref="F1352:G1353" si="339">F1353</f>
        <v>45305.624230000001</v>
      </c>
      <c r="G1352" s="275">
        <f t="shared" si="339"/>
        <v>45305.624230000001</v>
      </c>
      <c r="H1352" s="131">
        <f t="shared" si="336"/>
        <v>100</v>
      </c>
    </row>
    <row r="1353" spans="1:8" ht="18.75" x14ac:dyDescent="0.25">
      <c r="A1353" s="258" t="s">
        <v>24</v>
      </c>
      <c r="B1353" s="141" t="s">
        <v>1013</v>
      </c>
      <c r="C1353" s="141" t="s">
        <v>990</v>
      </c>
      <c r="D1353" s="146" t="s">
        <v>810</v>
      </c>
      <c r="E1353" s="151" t="s">
        <v>25</v>
      </c>
      <c r="F1353" s="166">
        <f t="shared" si="339"/>
        <v>45305.624230000001</v>
      </c>
      <c r="G1353" s="275">
        <f t="shared" si="339"/>
        <v>45305.624230000001</v>
      </c>
      <c r="H1353" s="131">
        <f t="shared" si="336"/>
        <v>100</v>
      </c>
    </row>
    <row r="1354" spans="1:8" s="82" customFormat="1" ht="18.75" hidden="1" x14ac:dyDescent="0.25">
      <c r="A1354" s="11" t="s">
        <v>72</v>
      </c>
      <c r="B1354" s="2" t="s">
        <v>1013</v>
      </c>
      <c r="C1354" s="2" t="s">
        <v>990</v>
      </c>
      <c r="D1354" s="4" t="s">
        <v>810</v>
      </c>
      <c r="E1354" s="5" t="s">
        <v>73</v>
      </c>
      <c r="F1354" s="14">
        <f>0+40000+5305.62423</f>
        <v>45305.624230000001</v>
      </c>
      <c r="G1354" s="63">
        <v>45305.624230000001</v>
      </c>
      <c r="H1354" s="97">
        <f t="shared" si="336"/>
        <v>100</v>
      </c>
    </row>
    <row r="1355" spans="1:8" ht="31.5" x14ac:dyDescent="0.2">
      <c r="A1355" s="154" t="s">
        <v>677</v>
      </c>
      <c r="B1355" s="133" t="s">
        <v>1013</v>
      </c>
      <c r="C1355" s="133" t="s">
        <v>990</v>
      </c>
      <c r="D1355" s="139" t="s">
        <v>678</v>
      </c>
      <c r="E1355" s="161"/>
      <c r="F1355" s="222">
        <f>F1356</f>
        <v>377.5</v>
      </c>
      <c r="G1355" s="222">
        <f>G1356</f>
        <v>366.82859999999999</v>
      </c>
      <c r="H1355" s="131">
        <f t="shared" si="336"/>
        <v>97.173139072847675</v>
      </c>
    </row>
    <row r="1356" spans="1:8" ht="18.75" x14ac:dyDescent="0.2">
      <c r="A1356" s="155" t="s">
        <v>95</v>
      </c>
      <c r="B1356" s="148" t="s">
        <v>1013</v>
      </c>
      <c r="C1356" s="148" t="s">
        <v>990</v>
      </c>
      <c r="D1356" s="142" t="s">
        <v>679</v>
      </c>
      <c r="E1356" s="148"/>
      <c r="F1356" s="267">
        <f>F1357</f>
        <v>377.5</v>
      </c>
      <c r="G1356" s="156">
        <f t="shared" ref="G1356" si="340">G1357</f>
        <v>366.82859999999999</v>
      </c>
      <c r="H1356" s="131">
        <f t="shared" si="336"/>
        <v>97.173139072847675</v>
      </c>
    </row>
    <row r="1357" spans="1:8" ht="18.75" x14ac:dyDescent="0.2">
      <c r="A1357" s="155" t="s">
        <v>98</v>
      </c>
      <c r="B1357" s="148" t="s">
        <v>1013</v>
      </c>
      <c r="C1357" s="148" t="s">
        <v>990</v>
      </c>
      <c r="D1357" s="142" t="s">
        <v>680</v>
      </c>
      <c r="E1357" s="148"/>
      <c r="F1357" s="267">
        <f>F1358+F1361</f>
        <v>377.5</v>
      </c>
      <c r="G1357" s="156">
        <f>G1358+G1361</f>
        <v>366.82859999999999</v>
      </c>
      <c r="H1357" s="131">
        <f t="shared" si="336"/>
        <v>97.173139072847675</v>
      </c>
    </row>
    <row r="1358" spans="1:8" ht="18.75" x14ac:dyDescent="0.2">
      <c r="A1358" s="145" t="s">
        <v>871</v>
      </c>
      <c r="B1358" s="141" t="s">
        <v>1013</v>
      </c>
      <c r="C1358" s="141" t="s">
        <v>990</v>
      </c>
      <c r="D1358" s="268" t="s">
        <v>680</v>
      </c>
      <c r="E1358" s="151" t="s">
        <v>15</v>
      </c>
      <c r="F1358" s="269">
        <f t="shared" ref="F1358:G1359" si="341">F1359</f>
        <v>100</v>
      </c>
      <c r="G1358" s="158">
        <f t="shared" si="341"/>
        <v>99.2</v>
      </c>
      <c r="H1358" s="131">
        <f t="shared" si="336"/>
        <v>99.2</v>
      </c>
    </row>
    <row r="1359" spans="1:8" ht="31.5" x14ac:dyDescent="0.2">
      <c r="A1359" s="162" t="s">
        <v>17</v>
      </c>
      <c r="B1359" s="141" t="s">
        <v>1013</v>
      </c>
      <c r="C1359" s="141" t="s">
        <v>990</v>
      </c>
      <c r="D1359" s="268" t="s">
        <v>680</v>
      </c>
      <c r="E1359" s="151" t="s">
        <v>16</v>
      </c>
      <c r="F1359" s="269">
        <f t="shared" si="341"/>
        <v>100</v>
      </c>
      <c r="G1359" s="158">
        <f t="shared" si="341"/>
        <v>99.2</v>
      </c>
      <c r="H1359" s="131">
        <f t="shared" si="336"/>
        <v>99.2</v>
      </c>
    </row>
    <row r="1360" spans="1:8" s="82" customFormat="1" ht="18.75" hidden="1" x14ac:dyDescent="0.2">
      <c r="A1360" s="28" t="s">
        <v>548</v>
      </c>
      <c r="B1360" s="2" t="s">
        <v>1013</v>
      </c>
      <c r="C1360" s="2" t="s">
        <v>990</v>
      </c>
      <c r="D1360" s="22" t="s">
        <v>680</v>
      </c>
      <c r="E1360" s="2" t="s">
        <v>67</v>
      </c>
      <c r="F1360" s="6">
        <v>100</v>
      </c>
      <c r="G1360" s="14">
        <v>99.2</v>
      </c>
      <c r="H1360" s="97">
        <f t="shared" si="336"/>
        <v>99.2</v>
      </c>
    </row>
    <row r="1361" spans="1:8" ht="31.5" x14ac:dyDescent="0.2">
      <c r="A1361" s="162" t="s">
        <v>18</v>
      </c>
      <c r="B1361" s="141" t="s">
        <v>1013</v>
      </c>
      <c r="C1361" s="141" t="s">
        <v>990</v>
      </c>
      <c r="D1361" s="268" t="s">
        <v>680</v>
      </c>
      <c r="E1361" s="151" t="s">
        <v>20</v>
      </c>
      <c r="F1361" s="269">
        <f t="shared" ref="F1361:G1362" si="342">F1362</f>
        <v>277.5</v>
      </c>
      <c r="G1361" s="158">
        <f t="shared" si="342"/>
        <v>267.62860000000001</v>
      </c>
      <c r="H1361" s="131">
        <f t="shared" si="336"/>
        <v>96.44273873873874</v>
      </c>
    </row>
    <row r="1362" spans="1:8" ht="18.75" x14ac:dyDescent="0.2">
      <c r="A1362" s="162" t="s">
        <v>24</v>
      </c>
      <c r="B1362" s="141" t="s">
        <v>1013</v>
      </c>
      <c r="C1362" s="141" t="s">
        <v>990</v>
      </c>
      <c r="D1362" s="268" t="s">
        <v>680</v>
      </c>
      <c r="E1362" s="151" t="s">
        <v>25</v>
      </c>
      <c r="F1362" s="269">
        <f t="shared" si="342"/>
        <v>277.5</v>
      </c>
      <c r="G1362" s="158">
        <f t="shared" si="342"/>
        <v>267.62860000000001</v>
      </c>
      <c r="H1362" s="131">
        <f t="shared" si="336"/>
        <v>96.44273873873874</v>
      </c>
    </row>
    <row r="1363" spans="1:8" s="82" customFormat="1" ht="18.75" hidden="1" x14ac:dyDescent="0.2">
      <c r="A1363" s="27" t="s">
        <v>72</v>
      </c>
      <c r="B1363" s="2" t="s">
        <v>1013</v>
      </c>
      <c r="C1363" s="2" t="s">
        <v>990</v>
      </c>
      <c r="D1363" s="22" t="s">
        <v>680</v>
      </c>
      <c r="E1363" s="5" t="s">
        <v>73</v>
      </c>
      <c r="F1363" s="6">
        <f>252.5+25</f>
        <v>277.5</v>
      </c>
      <c r="G1363" s="14">
        <v>267.62860000000001</v>
      </c>
      <c r="H1363" s="97">
        <f t="shared" si="336"/>
        <v>96.44273873873874</v>
      </c>
    </row>
    <row r="1364" spans="1:8" ht="18.75" x14ac:dyDescent="0.25">
      <c r="A1364" s="277" t="s">
        <v>822</v>
      </c>
      <c r="B1364" s="133" t="s">
        <v>1013</v>
      </c>
      <c r="C1364" s="133" t="s">
        <v>990</v>
      </c>
      <c r="D1364" s="278" t="s">
        <v>823</v>
      </c>
      <c r="E1364" s="279"/>
      <c r="F1364" s="280">
        <f>F1365</f>
        <v>2133</v>
      </c>
      <c r="G1364" s="280">
        <f t="shared" ref="G1364:G1365" si="343">G1365</f>
        <v>2133</v>
      </c>
      <c r="H1364" s="131">
        <f t="shared" si="336"/>
        <v>100</v>
      </c>
    </row>
    <row r="1365" spans="1:8" ht="63" x14ac:dyDescent="0.25">
      <c r="A1365" s="187" t="s">
        <v>824</v>
      </c>
      <c r="B1365" s="148" t="s">
        <v>1013</v>
      </c>
      <c r="C1365" s="148" t="s">
        <v>990</v>
      </c>
      <c r="D1365" s="281" t="s">
        <v>825</v>
      </c>
      <c r="E1365" s="226"/>
      <c r="F1365" s="282">
        <f>F1366</f>
        <v>2133</v>
      </c>
      <c r="G1365" s="270">
        <f t="shared" si="343"/>
        <v>2133</v>
      </c>
      <c r="H1365" s="131">
        <f t="shared" ref="H1365:H1407" si="344">G1365/F1365*100</f>
        <v>100</v>
      </c>
    </row>
    <row r="1366" spans="1:8" ht="31.5" x14ac:dyDescent="0.25">
      <c r="A1366" s="258" t="s">
        <v>18</v>
      </c>
      <c r="B1366" s="141" t="s">
        <v>1013</v>
      </c>
      <c r="C1366" s="141" t="s">
        <v>990</v>
      </c>
      <c r="D1366" s="283" t="s">
        <v>825</v>
      </c>
      <c r="E1366" s="284" t="s">
        <v>20</v>
      </c>
      <c r="F1366" s="265">
        <f t="shared" ref="F1366:G1367" si="345">F1367</f>
        <v>2133</v>
      </c>
      <c r="G1366" s="264">
        <f t="shared" si="345"/>
        <v>2133</v>
      </c>
      <c r="H1366" s="131">
        <f t="shared" si="344"/>
        <v>100</v>
      </c>
    </row>
    <row r="1367" spans="1:8" ht="18.75" x14ac:dyDescent="0.25">
      <c r="A1367" s="258" t="s">
        <v>24</v>
      </c>
      <c r="B1367" s="141" t="s">
        <v>1013</v>
      </c>
      <c r="C1367" s="141" t="s">
        <v>990</v>
      </c>
      <c r="D1367" s="283" t="s">
        <v>825</v>
      </c>
      <c r="E1367" s="284" t="s">
        <v>25</v>
      </c>
      <c r="F1367" s="265">
        <f t="shared" si="345"/>
        <v>2133</v>
      </c>
      <c r="G1367" s="264">
        <f t="shared" si="345"/>
        <v>2133</v>
      </c>
      <c r="H1367" s="131">
        <f t="shared" si="344"/>
        <v>100</v>
      </c>
    </row>
    <row r="1368" spans="1:8" s="82" customFormat="1" ht="18.75" hidden="1" x14ac:dyDescent="0.25">
      <c r="A1368" s="11" t="s">
        <v>72</v>
      </c>
      <c r="B1368" s="2" t="s">
        <v>1013</v>
      </c>
      <c r="C1368" s="2" t="s">
        <v>990</v>
      </c>
      <c r="D1368" s="26" t="s">
        <v>825</v>
      </c>
      <c r="E1368" s="16" t="s">
        <v>73</v>
      </c>
      <c r="F1368" s="34">
        <f>433+1700</f>
        <v>2133</v>
      </c>
      <c r="G1368" s="83">
        <v>2133</v>
      </c>
      <c r="H1368" s="97">
        <f t="shared" si="344"/>
        <v>100</v>
      </c>
    </row>
    <row r="1369" spans="1:8" ht="18.75" x14ac:dyDescent="0.25">
      <c r="A1369" s="277" t="s">
        <v>826</v>
      </c>
      <c r="B1369" s="133" t="s">
        <v>1013</v>
      </c>
      <c r="C1369" s="133" t="s">
        <v>990</v>
      </c>
      <c r="D1369" s="278" t="s">
        <v>827</v>
      </c>
      <c r="E1369" s="279"/>
      <c r="F1369" s="280">
        <f>F1370+F1374+F1378+F1382+F1386+F1390+F1394+F1398</f>
        <v>52270.737160000004</v>
      </c>
      <c r="G1369" s="280">
        <f>G1370+G1374+G1378+G1382+G1386+G1390+G1394+G1398</f>
        <v>41541.155250000003</v>
      </c>
      <c r="H1369" s="131">
        <f t="shared" si="344"/>
        <v>79.473061806729646</v>
      </c>
    </row>
    <row r="1370" spans="1:8" ht="47.25" x14ac:dyDescent="0.25">
      <c r="A1370" s="285" t="s">
        <v>972</v>
      </c>
      <c r="B1370" s="148" t="s">
        <v>1013</v>
      </c>
      <c r="C1370" s="148" t="s">
        <v>990</v>
      </c>
      <c r="D1370" s="142" t="s">
        <v>974</v>
      </c>
      <c r="E1370" s="148"/>
      <c r="F1370" s="286">
        <f>F1371</f>
        <v>6186</v>
      </c>
      <c r="G1370" s="270">
        <f>G1371</f>
        <v>6051.4566500000001</v>
      </c>
      <c r="H1370" s="131">
        <f t="shared" si="344"/>
        <v>97.825034755900418</v>
      </c>
    </row>
    <row r="1371" spans="1:8" ht="31.5" x14ac:dyDescent="0.25">
      <c r="A1371" s="258" t="s">
        <v>299</v>
      </c>
      <c r="B1371" s="141" t="s">
        <v>1013</v>
      </c>
      <c r="C1371" s="141" t="s">
        <v>990</v>
      </c>
      <c r="D1371" s="268" t="s">
        <v>974</v>
      </c>
      <c r="E1371" s="151" t="s">
        <v>34</v>
      </c>
      <c r="F1371" s="287">
        <f t="shared" ref="F1371:G1372" si="346">F1372</f>
        <v>6186</v>
      </c>
      <c r="G1371" s="264">
        <f t="shared" si="346"/>
        <v>6051.4566500000001</v>
      </c>
      <c r="H1371" s="131">
        <f t="shared" si="344"/>
        <v>97.825034755900418</v>
      </c>
    </row>
    <row r="1372" spans="1:8" ht="18.75" x14ac:dyDescent="0.25">
      <c r="A1372" s="258" t="s">
        <v>33</v>
      </c>
      <c r="B1372" s="141" t="s">
        <v>1013</v>
      </c>
      <c r="C1372" s="141" t="s">
        <v>990</v>
      </c>
      <c r="D1372" s="268" t="s">
        <v>974</v>
      </c>
      <c r="E1372" s="151">
        <v>410</v>
      </c>
      <c r="F1372" s="287">
        <f t="shared" si="346"/>
        <v>6186</v>
      </c>
      <c r="G1372" s="264">
        <f t="shared" si="346"/>
        <v>6051.4566500000001</v>
      </c>
      <c r="H1372" s="131">
        <f t="shared" si="344"/>
        <v>97.825034755900418</v>
      </c>
    </row>
    <row r="1373" spans="1:8" s="82" customFormat="1" ht="31.5" hidden="1" x14ac:dyDescent="0.25">
      <c r="A1373" s="11" t="s">
        <v>84</v>
      </c>
      <c r="B1373" s="2" t="s">
        <v>1013</v>
      </c>
      <c r="C1373" s="2" t="s">
        <v>990</v>
      </c>
      <c r="D1373" s="22" t="s">
        <v>974</v>
      </c>
      <c r="E1373" s="5" t="s">
        <v>85</v>
      </c>
      <c r="F1373" s="62">
        <f>130+2616+3440</f>
        <v>6186</v>
      </c>
      <c r="G1373" s="83">
        <v>6051.4566500000001</v>
      </c>
      <c r="H1373" s="97">
        <f t="shared" si="344"/>
        <v>97.825034755900418</v>
      </c>
    </row>
    <row r="1374" spans="1:8" ht="31.5" x14ac:dyDescent="0.25">
      <c r="A1374" s="288" t="s">
        <v>973</v>
      </c>
      <c r="B1374" s="148" t="s">
        <v>1013</v>
      </c>
      <c r="C1374" s="148" t="s">
        <v>990</v>
      </c>
      <c r="D1374" s="268" t="s">
        <v>975</v>
      </c>
      <c r="E1374" s="148"/>
      <c r="F1374" s="252">
        <f>F1375</f>
        <v>6414</v>
      </c>
      <c r="G1374" s="270">
        <f>G1375</f>
        <v>6413.8280100000002</v>
      </c>
      <c r="H1374" s="131">
        <f t="shared" si="344"/>
        <v>99.997318521983175</v>
      </c>
    </row>
    <row r="1375" spans="1:8" ht="31.5" x14ac:dyDescent="0.25">
      <c r="A1375" s="258" t="s">
        <v>299</v>
      </c>
      <c r="B1375" s="141" t="s">
        <v>1013</v>
      </c>
      <c r="C1375" s="141" t="s">
        <v>990</v>
      </c>
      <c r="D1375" s="268" t="s">
        <v>975</v>
      </c>
      <c r="E1375" s="151" t="s">
        <v>34</v>
      </c>
      <c r="F1375" s="160">
        <f t="shared" ref="F1375:G1376" si="347">F1376</f>
        <v>6414</v>
      </c>
      <c r="G1375" s="264">
        <f t="shared" si="347"/>
        <v>6413.8280100000002</v>
      </c>
      <c r="H1375" s="131">
        <f t="shared" si="344"/>
        <v>99.997318521983175</v>
      </c>
    </row>
    <row r="1376" spans="1:8" ht="18.75" x14ac:dyDescent="0.25">
      <c r="A1376" s="258" t="s">
        <v>33</v>
      </c>
      <c r="B1376" s="141" t="s">
        <v>1013</v>
      </c>
      <c r="C1376" s="141" t="s">
        <v>990</v>
      </c>
      <c r="D1376" s="268" t="s">
        <v>975</v>
      </c>
      <c r="E1376" s="151">
        <v>410</v>
      </c>
      <c r="F1376" s="160">
        <f t="shared" si="347"/>
        <v>6414</v>
      </c>
      <c r="G1376" s="264">
        <f t="shared" si="347"/>
        <v>6413.8280100000002</v>
      </c>
      <c r="H1376" s="131">
        <f t="shared" si="344"/>
        <v>99.997318521983175</v>
      </c>
    </row>
    <row r="1377" spans="1:8" s="82" customFormat="1" ht="31.5" hidden="1" x14ac:dyDescent="0.25">
      <c r="A1377" s="11" t="s">
        <v>84</v>
      </c>
      <c r="B1377" s="2" t="s">
        <v>1013</v>
      </c>
      <c r="C1377" s="2" t="s">
        <v>990</v>
      </c>
      <c r="D1377" s="22" t="s">
        <v>975</v>
      </c>
      <c r="E1377" s="5" t="s">
        <v>85</v>
      </c>
      <c r="F1377" s="62">
        <f>0+24210-2711-5000-8615-1470</f>
        <v>6414</v>
      </c>
      <c r="G1377" s="83">
        <v>6413.8280100000002</v>
      </c>
      <c r="H1377" s="97">
        <f t="shared" si="344"/>
        <v>99.997318521983175</v>
      </c>
    </row>
    <row r="1378" spans="1:8" ht="47.25" x14ac:dyDescent="0.25">
      <c r="A1378" s="276" t="s">
        <v>530</v>
      </c>
      <c r="B1378" s="148" t="s">
        <v>1013</v>
      </c>
      <c r="C1378" s="148" t="s">
        <v>990</v>
      </c>
      <c r="D1378" s="142" t="s">
        <v>976</v>
      </c>
      <c r="E1378" s="148"/>
      <c r="F1378" s="286">
        <f t="shared" ref="F1378:G1380" si="348">F1379</f>
        <v>11419</v>
      </c>
      <c r="G1378" s="270">
        <f t="shared" si="348"/>
        <v>11411.057419999999</v>
      </c>
      <c r="H1378" s="131">
        <f t="shared" si="344"/>
        <v>99.93044417199404</v>
      </c>
    </row>
    <row r="1379" spans="1:8" ht="31.5" x14ac:dyDescent="0.25">
      <c r="A1379" s="258" t="s">
        <v>299</v>
      </c>
      <c r="B1379" s="141" t="s">
        <v>1013</v>
      </c>
      <c r="C1379" s="141" t="s">
        <v>990</v>
      </c>
      <c r="D1379" s="268" t="s">
        <v>976</v>
      </c>
      <c r="E1379" s="151" t="s">
        <v>34</v>
      </c>
      <c r="F1379" s="287">
        <f t="shared" si="348"/>
        <v>11419</v>
      </c>
      <c r="G1379" s="264">
        <f t="shared" si="348"/>
        <v>11411.057419999999</v>
      </c>
      <c r="H1379" s="131">
        <f t="shared" si="344"/>
        <v>99.93044417199404</v>
      </c>
    </row>
    <row r="1380" spans="1:8" ht="18.75" x14ac:dyDescent="0.25">
      <c r="A1380" s="258" t="s">
        <v>33</v>
      </c>
      <c r="B1380" s="141" t="s">
        <v>1013</v>
      </c>
      <c r="C1380" s="141" t="s">
        <v>990</v>
      </c>
      <c r="D1380" s="268" t="s">
        <v>976</v>
      </c>
      <c r="E1380" s="151">
        <v>410</v>
      </c>
      <c r="F1380" s="287">
        <f t="shared" si="348"/>
        <v>11419</v>
      </c>
      <c r="G1380" s="264">
        <f t="shared" si="348"/>
        <v>11411.057419999999</v>
      </c>
      <c r="H1380" s="131">
        <f t="shared" si="344"/>
        <v>99.93044417199404</v>
      </c>
    </row>
    <row r="1381" spans="1:8" s="82" customFormat="1" ht="31.5" hidden="1" x14ac:dyDescent="0.25">
      <c r="A1381" s="11" t="s">
        <v>84</v>
      </c>
      <c r="B1381" s="2" t="s">
        <v>1013</v>
      </c>
      <c r="C1381" s="2" t="s">
        <v>990</v>
      </c>
      <c r="D1381" s="22" t="s">
        <v>976</v>
      </c>
      <c r="E1381" s="5" t="s">
        <v>85</v>
      </c>
      <c r="F1381" s="62">
        <f>119+11300</f>
        <v>11419</v>
      </c>
      <c r="G1381" s="83">
        <v>11411.057419999999</v>
      </c>
      <c r="H1381" s="97">
        <f t="shared" si="344"/>
        <v>99.93044417199404</v>
      </c>
    </row>
    <row r="1382" spans="1:8" ht="31.5" x14ac:dyDescent="0.25">
      <c r="A1382" s="187" t="s">
        <v>829</v>
      </c>
      <c r="B1382" s="148" t="s">
        <v>1013</v>
      </c>
      <c r="C1382" s="148" t="s">
        <v>990</v>
      </c>
      <c r="D1382" s="281" t="s">
        <v>830</v>
      </c>
      <c r="E1382" s="226"/>
      <c r="F1382" s="282">
        <f t="shared" ref="F1382:G1384" si="349">F1383</f>
        <v>6580.9579100000001</v>
      </c>
      <c r="G1382" s="282">
        <f t="shared" si="349"/>
        <v>6580.9579100000001</v>
      </c>
      <c r="H1382" s="131">
        <f t="shared" si="344"/>
        <v>100</v>
      </c>
    </row>
    <row r="1383" spans="1:8" ht="31.5" x14ac:dyDescent="0.25">
      <c r="A1383" s="258" t="s">
        <v>18</v>
      </c>
      <c r="B1383" s="148" t="s">
        <v>1013</v>
      </c>
      <c r="C1383" s="148" t="s">
        <v>990</v>
      </c>
      <c r="D1383" s="283" t="s">
        <v>830</v>
      </c>
      <c r="E1383" s="284" t="s">
        <v>20</v>
      </c>
      <c r="F1383" s="265">
        <f t="shared" si="349"/>
        <v>6580.9579100000001</v>
      </c>
      <c r="G1383" s="265">
        <f t="shared" si="349"/>
        <v>6580.9579100000001</v>
      </c>
      <c r="H1383" s="131">
        <f t="shared" si="344"/>
        <v>100</v>
      </c>
    </row>
    <row r="1384" spans="1:8" ht="18.75" x14ac:dyDescent="0.25">
      <c r="A1384" s="258" t="s">
        <v>24</v>
      </c>
      <c r="B1384" s="141" t="s">
        <v>1013</v>
      </c>
      <c r="C1384" s="141" t="s">
        <v>990</v>
      </c>
      <c r="D1384" s="283" t="s">
        <v>830</v>
      </c>
      <c r="E1384" s="284" t="s">
        <v>25</v>
      </c>
      <c r="F1384" s="265">
        <f t="shared" si="349"/>
        <v>6580.9579100000001</v>
      </c>
      <c r="G1384" s="265">
        <f t="shared" si="349"/>
        <v>6580.9579100000001</v>
      </c>
      <c r="H1384" s="131">
        <f t="shared" si="344"/>
        <v>100</v>
      </c>
    </row>
    <row r="1385" spans="1:8" s="82" customFormat="1" ht="18.75" hidden="1" x14ac:dyDescent="0.25">
      <c r="A1385" s="11" t="s">
        <v>72</v>
      </c>
      <c r="B1385" s="2" t="s">
        <v>1013</v>
      </c>
      <c r="C1385" s="2" t="s">
        <v>990</v>
      </c>
      <c r="D1385" s="26" t="s">
        <v>830</v>
      </c>
      <c r="E1385" s="16" t="s">
        <v>73</v>
      </c>
      <c r="F1385" s="34">
        <f>0+6580.95791</f>
        <v>6580.9579100000001</v>
      </c>
      <c r="G1385" s="34">
        <v>6580.9579100000001</v>
      </c>
      <c r="H1385" s="97">
        <f t="shared" si="344"/>
        <v>100</v>
      </c>
    </row>
    <row r="1386" spans="1:8" ht="18.75" x14ac:dyDescent="0.25">
      <c r="A1386" s="187" t="s">
        <v>831</v>
      </c>
      <c r="B1386" s="148" t="s">
        <v>1013</v>
      </c>
      <c r="C1386" s="148" t="s">
        <v>990</v>
      </c>
      <c r="D1386" s="281" t="s">
        <v>832</v>
      </c>
      <c r="E1386" s="226"/>
      <c r="F1386" s="282">
        <f>F1387</f>
        <v>993</v>
      </c>
      <c r="G1386" s="282">
        <f t="shared" ref="G1386" si="350">G1387</f>
        <v>992.17773</v>
      </c>
      <c r="H1386" s="131">
        <f t="shared" si="344"/>
        <v>99.917193353474318</v>
      </c>
    </row>
    <row r="1387" spans="1:8" ht="31.5" x14ac:dyDescent="0.25">
      <c r="A1387" s="258" t="s">
        <v>18</v>
      </c>
      <c r="B1387" s="148" t="s">
        <v>1013</v>
      </c>
      <c r="C1387" s="148" t="s">
        <v>990</v>
      </c>
      <c r="D1387" s="283" t="s">
        <v>832</v>
      </c>
      <c r="E1387" s="284" t="s">
        <v>20</v>
      </c>
      <c r="F1387" s="265">
        <f t="shared" ref="F1387:G1388" si="351">F1388</f>
        <v>993</v>
      </c>
      <c r="G1387" s="265">
        <f t="shared" si="351"/>
        <v>992.17773</v>
      </c>
      <c r="H1387" s="131">
        <f t="shared" si="344"/>
        <v>99.917193353474318</v>
      </c>
    </row>
    <row r="1388" spans="1:8" ht="18.75" x14ac:dyDescent="0.25">
      <c r="A1388" s="258" t="s">
        <v>24</v>
      </c>
      <c r="B1388" s="141" t="s">
        <v>1013</v>
      </c>
      <c r="C1388" s="141" t="s">
        <v>990</v>
      </c>
      <c r="D1388" s="283" t="s">
        <v>832</v>
      </c>
      <c r="E1388" s="284" t="s">
        <v>25</v>
      </c>
      <c r="F1388" s="265">
        <f t="shared" si="351"/>
        <v>993</v>
      </c>
      <c r="G1388" s="265">
        <f t="shared" si="351"/>
        <v>992.17773</v>
      </c>
      <c r="H1388" s="131">
        <f t="shared" si="344"/>
        <v>99.917193353474318</v>
      </c>
    </row>
    <row r="1389" spans="1:8" s="82" customFormat="1" ht="18.75" hidden="1" x14ac:dyDescent="0.25">
      <c r="A1389" s="11" t="s">
        <v>72</v>
      </c>
      <c r="B1389" s="2" t="s">
        <v>1013</v>
      </c>
      <c r="C1389" s="2" t="s">
        <v>990</v>
      </c>
      <c r="D1389" s="26" t="s">
        <v>832</v>
      </c>
      <c r="E1389" s="16" t="s">
        <v>73</v>
      </c>
      <c r="F1389" s="34">
        <f>992.25973+0.74027</f>
        <v>993</v>
      </c>
      <c r="G1389" s="34">
        <v>992.17773</v>
      </c>
      <c r="H1389" s="97">
        <f t="shared" si="344"/>
        <v>99.917193353474318</v>
      </c>
    </row>
    <row r="1390" spans="1:8" ht="31.5" x14ac:dyDescent="0.25">
      <c r="A1390" s="187" t="s">
        <v>828</v>
      </c>
      <c r="B1390" s="148" t="s">
        <v>1013</v>
      </c>
      <c r="C1390" s="148" t="s">
        <v>990</v>
      </c>
      <c r="D1390" s="281" t="s">
        <v>928</v>
      </c>
      <c r="E1390" s="226"/>
      <c r="F1390" s="282">
        <f>F1391</f>
        <v>2976.77925</v>
      </c>
      <c r="G1390" s="282">
        <f>G1391</f>
        <v>2976.77925</v>
      </c>
      <c r="H1390" s="131">
        <f t="shared" si="344"/>
        <v>100</v>
      </c>
    </row>
    <row r="1391" spans="1:8" ht="31.5" x14ac:dyDescent="0.25">
      <c r="A1391" s="258" t="s">
        <v>18</v>
      </c>
      <c r="B1391" s="141" t="s">
        <v>1013</v>
      </c>
      <c r="C1391" s="141" t="s">
        <v>990</v>
      </c>
      <c r="D1391" s="283" t="s">
        <v>928</v>
      </c>
      <c r="E1391" s="284" t="s">
        <v>20</v>
      </c>
      <c r="F1391" s="265">
        <f t="shared" ref="F1391:G1392" si="352">F1392</f>
        <v>2976.77925</v>
      </c>
      <c r="G1391" s="265">
        <f t="shared" si="352"/>
        <v>2976.77925</v>
      </c>
      <c r="H1391" s="131">
        <f t="shared" si="344"/>
        <v>100</v>
      </c>
    </row>
    <row r="1392" spans="1:8" ht="18.75" x14ac:dyDescent="0.25">
      <c r="A1392" s="258" t="s">
        <v>24</v>
      </c>
      <c r="B1392" s="141" t="s">
        <v>1013</v>
      </c>
      <c r="C1392" s="141" t="s">
        <v>990</v>
      </c>
      <c r="D1392" s="283" t="s">
        <v>928</v>
      </c>
      <c r="E1392" s="284" t="s">
        <v>25</v>
      </c>
      <c r="F1392" s="265">
        <f>F1393</f>
        <v>2976.77925</v>
      </c>
      <c r="G1392" s="265">
        <f t="shared" si="352"/>
        <v>2976.77925</v>
      </c>
      <c r="H1392" s="131">
        <f t="shared" si="344"/>
        <v>100</v>
      </c>
    </row>
    <row r="1393" spans="1:8" s="82" customFormat="1" ht="18.75" hidden="1" x14ac:dyDescent="0.25">
      <c r="A1393" s="11" t="s">
        <v>72</v>
      </c>
      <c r="B1393" s="2" t="s">
        <v>1013</v>
      </c>
      <c r="C1393" s="2" t="s">
        <v>990</v>
      </c>
      <c r="D1393" s="26" t="s">
        <v>928</v>
      </c>
      <c r="E1393" s="16" t="s">
        <v>73</v>
      </c>
      <c r="F1393" s="34">
        <f>2976.77925</f>
        <v>2976.77925</v>
      </c>
      <c r="G1393" s="34">
        <v>2976.77925</v>
      </c>
      <c r="H1393" s="97">
        <f t="shared" si="344"/>
        <v>100</v>
      </c>
    </row>
    <row r="1394" spans="1:8" ht="63" x14ac:dyDescent="0.25">
      <c r="A1394" s="285" t="s">
        <v>970</v>
      </c>
      <c r="B1394" s="141" t="s">
        <v>1013</v>
      </c>
      <c r="C1394" s="141" t="s">
        <v>990</v>
      </c>
      <c r="D1394" s="142" t="s">
        <v>926</v>
      </c>
      <c r="E1394" s="136"/>
      <c r="F1394" s="289">
        <f>F1395</f>
        <v>10585</v>
      </c>
      <c r="G1394" s="289">
        <f>G1395</f>
        <v>0</v>
      </c>
      <c r="H1394" s="131">
        <f t="shared" si="344"/>
        <v>0</v>
      </c>
    </row>
    <row r="1395" spans="1:8" ht="31.5" x14ac:dyDescent="0.25">
      <c r="A1395" s="258" t="s">
        <v>299</v>
      </c>
      <c r="B1395" s="141" t="s">
        <v>1013</v>
      </c>
      <c r="C1395" s="141" t="s">
        <v>990</v>
      </c>
      <c r="D1395" s="268" t="s">
        <v>926</v>
      </c>
      <c r="E1395" s="151" t="s">
        <v>34</v>
      </c>
      <c r="F1395" s="160">
        <f t="shared" ref="F1395:G1396" si="353">F1396</f>
        <v>10585</v>
      </c>
      <c r="G1395" s="253">
        <f t="shared" si="353"/>
        <v>0</v>
      </c>
      <c r="H1395" s="131">
        <f t="shared" si="344"/>
        <v>0</v>
      </c>
    </row>
    <row r="1396" spans="1:8" ht="18.75" x14ac:dyDescent="0.25">
      <c r="A1396" s="258" t="s">
        <v>33</v>
      </c>
      <c r="B1396" s="148" t="s">
        <v>1013</v>
      </c>
      <c r="C1396" s="148" t="s">
        <v>990</v>
      </c>
      <c r="D1396" s="268" t="s">
        <v>926</v>
      </c>
      <c r="E1396" s="151">
        <v>410</v>
      </c>
      <c r="F1396" s="160">
        <f t="shared" si="353"/>
        <v>10585</v>
      </c>
      <c r="G1396" s="253">
        <f t="shared" si="353"/>
        <v>0</v>
      </c>
      <c r="H1396" s="131">
        <f t="shared" si="344"/>
        <v>0</v>
      </c>
    </row>
    <row r="1397" spans="1:8" s="82" customFormat="1" ht="31.5" hidden="1" x14ac:dyDescent="0.25">
      <c r="A1397" s="11" t="s">
        <v>84</v>
      </c>
      <c r="B1397" s="12" t="s">
        <v>1013</v>
      </c>
      <c r="C1397" s="12" t="s">
        <v>990</v>
      </c>
      <c r="D1397" s="22" t="s">
        <v>926</v>
      </c>
      <c r="E1397" s="5" t="s">
        <v>85</v>
      </c>
      <c r="F1397" s="62">
        <f>8468+2117</f>
        <v>10585</v>
      </c>
      <c r="G1397" s="63">
        <v>0</v>
      </c>
      <c r="H1397" s="97">
        <f t="shared" si="344"/>
        <v>0</v>
      </c>
    </row>
    <row r="1398" spans="1:8" ht="31.5" x14ac:dyDescent="0.2">
      <c r="A1398" s="290" t="s">
        <v>854</v>
      </c>
      <c r="B1398" s="136" t="s">
        <v>1013</v>
      </c>
      <c r="C1398" s="136" t="s">
        <v>990</v>
      </c>
      <c r="D1398" s="139" t="s">
        <v>927</v>
      </c>
      <c r="E1398" s="136"/>
      <c r="F1398" s="289">
        <f t="shared" ref="F1398:G1400" si="354">F1399</f>
        <v>7116</v>
      </c>
      <c r="G1398" s="289">
        <f t="shared" si="354"/>
        <v>7114.8982800000003</v>
      </c>
      <c r="H1398" s="131">
        <f t="shared" si="344"/>
        <v>99.984517706576739</v>
      </c>
    </row>
    <row r="1399" spans="1:8" ht="31.5" x14ac:dyDescent="0.25">
      <c r="A1399" s="258" t="s">
        <v>299</v>
      </c>
      <c r="B1399" s="148" t="s">
        <v>1013</v>
      </c>
      <c r="C1399" s="148" t="s">
        <v>990</v>
      </c>
      <c r="D1399" s="268" t="s">
        <v>927</v>
      </c>
      <c r="E1399" s="151" t="s">
        <v>34</v>
      </c>
      <c r="F1399" s="160">
        <f t="shared" si="354"/>
        <v>7116</v>
      </c>
      <c r="G1399" s="253">
        <f t="shared" si="354"/>
        <v>7114.8982800000003</v>
      </c>
      <c r="H1399" s="131">
        <f t="shared" si="344"/>
        <v>99.984517706576739</v>
      </c>
    </row>
    <row r="1400" spans="1:8" ht="18.75" x14ac:dyDescent="0.25">
      <c r="A1400" s="258" t="s">
        <v>33</v>
      </c>
      <c r="B1400" s="141" t="s">
        <v>1013</v>
      </c>
      <c r="C1400" s="141" t="s">
        <v>990</v>
      </c>
      <c r="D1400" s="268" t="s">
        <v>927</v>
      </c>
      <c r="E1400" s="151">
        <v>410</v>
      </c>
      <c r="F1400" s="160">
        <f t="shared" si="354"/>
        <v>7116</v>
      </c>
      <c r="G1400" s="253">
        <f t="shared" si="354"/>
        <v>7114.8982800000003</v>
      </c>
      <c r="H1400" s="131">
        <f t="shared" si="344"/>
        <v>99.984517706576739</v>
      </c>
    </row>
    <row r="1401" spans="1:8" s="82" customFormat="1" ht="31.5" hidden="1" x14ac:dyDescent="0.25">
      <c r="A1401" s="11" t="s">
        <v>84</v>
      </c>
      <c r="B1401" s="2" t="s">
        <v>1013</v>
      </c>
      <c r="C1401" s="2" t="s">
        <v>990</v>
      </c>
      <c r="D1401" s="22" t="s">
        <v>927</v>
      </c>
      <c r="E1401" s="5" t="s">
        <v>85</v>
      </c>
      <c r="F1401" s="62">
        <f>5692.8+1423.2</f>
        <v>7116</v>
      </c>
      <c r="G1401" s="107">
        <v>7114.8982800000003</v>
      </c>
      <c r="H1401" s="97">
        <f t="shared" si="344"/>
        <v>99.984517706576739</v>
      </c>
    </row>
    <row r="1402" spans="1:8" ht="18.75" x14ac:dyDescent="0.25">
      <c r="A1402" s="277" t="s">
        <v>883</v>
      </c>
      <c r="B1402" s="148" t="s">
        <v>1013</v>
      </c>
      <c r="C1402" s="148" t="s">
        <v>990</v>
      </c>
      <c r="D1402" s="278" t="s">
        <v>884</v>
      </c>
      <c r="E1402" s="223"/>
      <c r="F1402" s="280">
        <f>F1403+F1407+F1411</f>
        <v>33632</v>
      </c>
      <c r="G1402" s="280">
        <f>G1403+G1407+G1411</f>
        <v>30533.445510000001</v>
      </c>
      <c r="H1402" s="131">
        <f t="shared" si="344"/>
        <v>90.786886031160805</v>
      </c>
    </row>
    <row r="1403" spans="1:8" ht="47.25" x14ac:dyDescent="0.25">
      <c r="A1403" s="187" t="s">
        <v>877</v>
      </c>
      <c r="B1403" s="148" t="s">
        <v>1013</v>
      </c>
      <c r="C1403" s="148" t="s">
        <v>990</v>
      </c>
      <c r="D1403" s="281" t="s">
        <v>878</v>
      </c>
      <c r="E1403" s="226"/>
      <c r="F1403" s="282">
        <f>F1404</f>
        <v>7468</v>
      </c>
      <c r="G1403" s="270">
        <f>G1404</f>
        <v>7468</v>
      </c>
      <c r="H1403" s="131">
        <f t="shared" si="344"/>
        <v>100</v>
      </c>
    </row>
    <row r="1404" spans="1:8" ht="31.5" x14ac:dyDescent="0.25">
      <c r="A1404" s="162" t="s">
        <v>18</v>
      </c>
      <c r="B1404" s="141" t="s">
        <v>1013</v>
      </c>
      <c r="C1404" s="141" t="s">
        <v>990</v>
      </c>
      <c r="D1404" s="283" t="s">
        <v>878</v>
      </c>
      <c r="E1404" s="151" t="s">
        <v>20</v>
      </c>
      <c r="F1404" s="265">
        <f t="shared" ref="F1404:G1405" si="355">F1405</f>
        <v>7468</v>
      </c>
      <c r="G1404" s="264">
        <f t="shared" si="355"/>
        <v>7468</v>
      </c>
      <c r="H1404" s="131">
        <f t="shared" si="344"/>
        <v>100</v>
      </c>
    </row>
    <row r="1405" spans="1:8" ht="18.75" x14ac:dyDescent="0.25">
      <c r="A1405" s="162" t="s">
        <v>24</v>
      </c>
      <c r="B1405" s="141" t="s">
        <v>1013</v>
      </c>
      <c r="C1405" s="141" t="s">
        <v>990</v>
      </c>
      <c r="D1405" s="283" t="s">
        <v>878</v>
      </c>
      <c r="E1405" s="151" t="s">
        <v>25</v>
      </c>
      <c r="F1405" s="265">
        <f t="shared" si="355"/>
        <v>7468</v>
      </c>
      <c r="G1405" s="264">
        <f t="shared" si="355"/>
        <v>7468</v>
      </c>
      <c r="H1405" s="131">
        <f t="shared" si="344"/>
        <v>100</v>
      </c>
    </row>
    <row r="1406" spans="1:8" s="82" customFormat="1" ht="18.75" hidden="1" x14ac:dyDescent="0.25">
      <c r="A1406" s="27" t="s">
        <v>72</v>
      </c>
      <c r="B1406" s="2" t="s">
        <v>1013</v>
      </c>
      <c r="C1406" s="2" t="s">
        <v>990</v>
      </c>
      <c r="D1406" s="26" t="s">
        <v>878</v>
      </c>
      <c r="E1406" s="5" t="s">
        <v>73</v>
      </c>
      <c r="F1406" s="34">
        <f>4851+1617+1000</f>
        <v>7468</v>
      </c>
      <c r="G1406" s="83">
        <v>7468</v>
      </c>
      <c r="H1406" s="97">
        <f t="shared" si="344"/>
        <v>100</v>
      </c>
    </row>
    <row r="1407" spans="1:8" ht="31.5" x14ac:dyDescent="0.25">
      <c r="A1407" s="187" t="s">
        <v>879</v>
      </c>
      <c r="B1407" s="148" t="s">
        <v>1013</v>
      </c>
      <c r="C1407" s="148" t="s">
        <v>990</v>
      </c>
      <c r="D1407" s="281" t="s">
        <v>880</v>
      </c>
      <c r="E1407" s="226"/>
      <c r="F1407" s="270">
        <f>F1408</f>
        <v>3825</v>
      </c>
      <c r="G1407" s="270">
        <f>G1408</f>
        <v>3371.75</v>
      </c>
      <c r="H1407" s="131">
        <f t="shared" si="344"/>
        <v>88.150326797385631</v>
      </c>
    </row>
    <row r="1408" spans="1:8" ht="31.5" x14ac:dyDescent="0.25">
      <c r="A1408" s="162" t="s">
        <v>18</v>
      </c>
      <c r="B1408" s="141" t="s">
        <v>1013</v>
      </c>
      <c r="C1408" s="141" t="s">
        <v>990</v>
      </c>
      <c r="D1408" s="283" t="s">
        <v>880</v>
      </c>
      <c r="E1408" s="151" t="s">
        <v>20</v>
      </c>
      <c r="F1408" s="275">
        <f t="shared" ref="F1408:G1409" si="356">F1409</f>
        <v>3825</v>
      </c>
      <c r="G1408" s="166">
        <f t="shared" si="356"/>
        <v>3371.75</v>
      </c>
      <c r="H1408" s="131">
        <f t="shared" ref="H1408:H1459" si="357">G1408/F1408*100</f>
        <v>88.150326797385631</v>
      </c>
    </row>
    <row r="1409" spans="1:8" ht="18.75" x14ac:dyDescent="0.25">
      <c r="A1409" s="162" t="s">
        <v>24</v>
      </c>
      <c r="B1409" s="141" t="s">
        <v>1013</v>
      </c>
      <c r="C1409" s="141" t="s">
        <v>990</v>
      </c>
      <c r="D1409" s="283" t="s">
        <v>880</v>
      </c>
      <c r="E1409" s="151" t="s">
        <v>25</v>
      </c>
      <c r="F1409" s="275">
        <f t="shared" si="356"/>
        <v>3825</v>
      </c>
      <c r="G1409" s="166">
        <f t="shared" si="356"/>
        <v>3371.75</v>
      </c>
      <c r="H1409" s="131">
        <f t="shared" si="357"/>
        <v>88.150326797385631</v>
      </c>
    </row>
    <row r="1410" spans="1:8" s="82" customFormat="1" ht="18.75" hidden="1" x14ac:dyDescent="0.25">
      <c r="A1410" s="27" t="s">
        <v>72</v>
      </c>
      <c r="B1410" s="2" t="s">
        <v>1013</v>
      </c>
      <c r="C1410" s="2" t="s">
        <v>990</v>
      </c>
      <c r="D1410" s="26" t="s">
        <v>880</v>
      </c>
      <c r="E1410" s="5" t="s">
        <v>73</v>
      </c>
      <c r="F1410" s="86">
        <f>2363+1462</f>
        <v>3825</v>
      </c>
      <c r="G1410" s="83">
        <v>3371.75</v>
      </c>
      <c r="H1410" s="97">
        <f t="shared" si="357"/>
        <v>88.150326797385631</v>
      </c>
    </row>
    <row r="1411" spans="1:8" ht="31.5" x14ac:dyDescent="0.25">
      <c r="A1411" s="187" t="s">
        <v>881</v>
      </c>
      <c r="B1411" s="148" t="s">
        <v>1013</v>
      </c>
      <c r="C1411" s="148" t="s">
        <v>990</v>
      </c>
      <c r="D1411" s="281" t="s">
        <v>882</v>
      </c>
      <c r="E1411" s="226"/>
      <c r="F1411" s="270">
        <f>F1412</f>
        <v>22339</v>
      </c>
      <c r="G1411" s="270">
        <f>G1412</f>
        <v>19693.695510000001</v>
      </c>
      <c r="H1411" s="131">
        <f t="shared" si="357"/>
        <v>88.15835762567707</v>
      </c>
    </row>
    <row r="1412" spans="1:8" ht="31.5" x14ac:dyDescent="0.25">
      <c r="A1412" s="162" t="s">
        <v>18</v>
      </c>
      <c r="B1412" s="141" t="s">
        <v>1013</v>
      </c>
      <c r="C1412" s="141" t="s">
        <v>990</v>
      </c>
      <c r="D1412" s="283" t="s">
        <v>882</v>
      </c>
      <c r="E1412" s="151" t="s">
        <v>20</v>
      </c>
      <c r="F1412" s="275">
        <f t="shared" ref="F1412:G1413" si="358">F1413</f>
        <v>22339</v>
      </c>
      <c r="G1412" s="166">
        <f t="shared" si="358"/>
        <v>19693.695510000001</v>
      </c>
      <c r="H1412" s="131">
        <f t="shared" si="357"/>
        <v>88.15835762567707</v>
      </c>
    </row>
    <row r="1413" spans="1:8" ht="18.75" x14ac:dyDescent="0.25">
      <c r="A1413" s="162" t="s">
        <v>24</v>
      </c>
      <c r="B1413" s="141" t="s">
        <v>1013</v>
      </c>
      <c r="C1413" s="141" t="s">
        <v>990</v>
      </c>
      <c r="D1413" s="283" t="s">
        <v>882</v>
      </c>
      <c r="E1413" s="151" t="s">
        <v>25</v>
      </c>
      <c r="F1413" s="275">
        <f t="shared" si="358"/>
        <v>22339</v>
      </c>
      <c r="G1413" s="166">
        <f t="shared" si="358"/>
        <v>19693.695510000001</v>
      </c>
      <c r="H1413" s="131">
        <f t="shared" si="357"/>
        <v>88.15835762567707</v>
      </c>
    </row>
    <row r="1414" spans="1:8" s="82" customFormat="1" ht="18.75" hidden="1" x14ac:dyDescent="0.25">
      <c r="A1414" s="27" t="s">
        <v>72</v>
      </c>
      <c r="B1414" s="2" t="s">
        <v>1013</v>
      </c>
      <c r="C1414" s="2" t="s">
        <v>990</v>
      </c>
      <c r="D1414" s="26" t="s">
        <v>882</v>
      </c>
      <c r="E1414" s="5" t="s">
        <v>73</v>
      </c>
      <c r="F1414" s="86">
        <f>13805+8534</f>
        <v>22339</v>
      </c>
      <c r="G1414" s="83">
        <v>19693.695510000001</v>
      </c>
      <c r="H1414" s="97">
        <f t="shared" si="357"/>
        <v>88.15835762567707</v>
      </c>
    </row>
    <row r="1415" spans="1:8" ht="31.5" x14ac:dyDescent="0.2">
      <c r="A1415" s="135" t="s">
        <v>100</v>
      </c>
      <c r="B1415" s="136" t="s">
        <v>1013</v>
      </c>
      <c r="C1415" s="136" t="s">
        <v>990</v>
      </c>
      <c r="D1415" s="137" t="s">
        <v>233</v>
      </c>
      <c r="E1415" s="136"/>
      <c r="F1415" s="138">
        <f>F1416+F1422+F1428</f>
        <v>6602</v>
      </c>
      <c r="G1415" s="138">
        <f>G1416+G1422+G1428</f>
        <v>6594.0398999999998</v>
      </c>
      <c r="H1415" s="131">
        <f t="shared" si="357"/>
        <v>99.879428960920919</v>
      </c>
    </row>
    <row r="1416" spans="1:8" ht="47.25" x14ac:dyDescent="0.2">
      <c r="A1416" s="154" t="s">
        <v>682</v>
      </c>
      <c r="B1416" s="133" t="s">
        <v>1013</v>
      </c>
      <c r="C1416" s="133" t="s">
        <v>990</v>
      </c>
      <c r="D1416" s="139" t="s">
        <v>234</v>
      </c>
      <c r="E1416" s="161"/>
      <c r="F1416" s="222">
        <f>F1417</f>
        <v>372</v>
      </c>
      <c r="G1416" s="222">
        <f t="shared" ref="G1416:G1418" si="359">G1417</f>
        <v>371.83300000000003</v>
      </c>
      <c r="H1416" s="131">
        <f t="shared" si="357"/>
        <v>99.955107526881733</v>
      </c>
    </row>
    <row r="1417" spans="1:8" ht="18.75" x14ac:dyDescent="0.2">
      <c r="A1417" s="175" t="s">
        <v>101</v>
      </c>
      <c r="B1417" s="136" t="s">
        <v>1013</v>
      </c>
      <c r="C1417" s="136" t="s">
        <v>990</v>
      </c>
      <c r="D1417" s="137" t="s">
        <v>235</v>
      </c>
      <c r="E1417" s="136"/>
      <c r="F1417" s="266">
        <f>F1418</f>
        <v>372</v>
      </c>
      <c r="G1417" s="266">
        <f t="shared" si="359"/>
        <v>371.83300000000003</v>
      </c>
      <c r="H1417" s="131">
        <f t="shared" si="357"/>
        <v>99.955107526881733</v>
      </c>
    </row>
    <row r="1418" spans="1:8" ht="18.75" x14ac:dyDescent="0.2">
      <c r="A1418" s="155" t="s">
        <v>102</v>
      </c>
      <c r="B1418" s="148" t="s">
        <v>1013</v>
      </c>
      <c r="C1418" s="148" t="s">
        <v>990</v>
      </c>
      <c r="D1418" s="142" t="s">
        <v>236</v>
      </c>
      <c r="E1418" s="148"/>
      <c r="F1418" s="267">
        <f>F1419</f>
        <v>372</v>
      </c>
      <c r="G1418" s="156">
        <f t="shared" si="359"/>
        <v>371.83300000000003</v>
      </c>
      <c r="H1418" s="131">
        <f t="shared" si="357"/>
        <v>99.955107526881733</v>
      </c>
    </row>
    <row r="1419" spans="1:8" ht="31.5" x14ac:dyDescent="0.2">
      <c r="A1419" s="162" t="s">
        <v>18</v>
      </c>
      <c r="B1419" s="141" t="s">
        <v>1013</v>
      </c>
      <c r="C1419" s="141" t="s">
        <v>990</v>
      </c>
      <c r="D1419" s="268" t="s">
        <v>236</v>
      </c>
      <c r="E1419" s="151" t="s">
        <v>20</v>
      </c>
      <c r="F1419" s="269">
        <f t="shared" ref="F1419:G1420" si="360">F1420</f>
        <v>372</v>
      </c>
      <c r="G1419" s="158">
        <f t="shared" si="360"/>
        <v>371.83300000000003</v>
      </c>
      <c r="H1419" s="131">
        <f t="shared" si="357"/>
        <v>99.955107526881733</v>
      </c>
    </row>
    <row r="1420" spans="1:8" ht="18.75" x14ac:dyDescent="0.2">
      <c r="A1420" s="162" t="s">
        <v>24</v>
      </c>
      <c r="B1420" s="141" t="s">
        <v>1013</v>
      </c>
      <c r="C1420" s="141" t="s">
        <v>990</v>
      </c>
      <c r="D1420" s="268" t="s">
        <v>236</v>
      </c>
      <c r="E1420" s="151" t="s">
        <v>25</v>
      </c>
      <c r="F1420" s="269">
        <f t="shared" si="360"/>
        <v>372</v>
      </c>
      <c r="G1420" s="158">
        <f t="shared" si="360"/>
        <v>371.83300000000003</v>
      </c>
      <c r="H1420" s="131">
        <f t="shared" si="357"/>
        <v>99.955107526881733</v>
      </c>
    </row>
    <row r="1421" spans="1:8" s="82" customFormat="1" ht="18.75" hidden="1" x14ac:dyDescent="0.2">
      <c r="A1421" s="27" t="s">
        <v>72</v>
      </c>
      <c r="B1421" s="2" t="s">
        <v>1013</v>
      </c>
      <c r="C1421" s="2" t="s">
        <v>990</v>
      </c>
      <c r="D1421" s="22" t="s">
        <v>236</v>
      </c>
      <c r="E1421" s="5" t="s">
        <v>73</v>
      </c>
      <c r="F1421" s="6">
        <f>400-28</f>
        <v>372</v>
      </c>
      <c r="G1421" s="14">
        <v>371.83300000000003</v>
      </c>
      <c r="H1421" s="97">
        <f t="shared" si="357"/>
        <v>99.955107526881733</v>
      </c>
    </row>
    <row r="1422" spans="1:8" ht="31.5" x14ac:dyDescent="0.2">
      <c r="A1422" s="154" t="s">
        <v>683</v>
      </c>
      <c r="B1422" s="133" t="s">
        <v>1013</v>
      </c>
      <c r="C1422" s="133" t="s">
        <v>990</v>
      </c>
      <c r="D1422" s="139" t="s">
        <v>243</v>
      </c>
      <c r="E1422" s="161"/>
      <c r="F1422" s="222">
        <f>F1423</f>
        <v>260</v>
      </c>
      <c r="G1422" s="222">
        <f t="shared" ref="G1422:G1424" si="361">G1423</f>
        <v>257.76</v>
      </c>
      <c r="H1422" s="131">
        <f t="shared" si="357"/>
        <v>99.138461538461527</v>
      </c>
    </row>
    <row r="1423" spans="1:8" ht="18.75" x14ac:dyDescent="0.2">
      <c r="A1423" s="175" t="s">
        <v>101</v>
      </c>
      <c r="B1423" s="136" t="s">
        <v>1013</v>
      </c>
      <c r="C1423" s="136" t="s">
        <v>990</v>
      </c>
      <c r="D1423" s="137" t="s">
        <v>245</v>
      </c>
      <c r="E1423" s="136"/>
      <c r="F1423" s="266">
        <f>F1424</f>
        <v>260</v>
      </c>
      <c r="G1423" s="266">
        <f t="shared" si="361"/>
        <v>257.76</v>
      </c>
      <c r="H1423" s="131">
        <f t="shared" si="357"/>
        <v>99.138461538461527</v>
      </c>
    </row>
    <row r="1424" spans="1:8" ht="18.75" x14ac:dyDescent="0.2">
      <c r="A1424" s="155" t="s">
        <v>102</v>
      </c>
      <c r="B1424" s="148" t="s">
        <v>1013</v>
      </c>
      <c r="C1424" s="148" t="s">
        <v>990</v>
      </c>
      <c r="D1424" s="142" t="s">
        <v>246</v>
      </c>
      <c r="E1424" s="148"/>
      <c r="F1424" s="267">
        <f>F1425</f>
        <v>260</v>
      </c>
      <c r="G1424" s="156">
        <f t="shared" si="361"/>
        <v>257.76</v>
      </c>
      <c r="H1424" s="131">
        <f t="shared" si="357"/>
        <v>99.138461538461527</v>
      </c>
    </row>
    <row r="1425" spans="1:8" ht="31.5" x14ac:dyDescent="0.2">
      <c r="A1425" s="162" t="s">
        <v>18</v>
      </c>
      <c r="B1425" s="141" t="s">
        <v>1013</v>
      </c>
      <c r="C1425" s="141" t="s">
        <v>990</v>
      </c>
      <c r="D1425" s="268" t="s">
        <v>246</v>
      </c>
      <c r="E1425" s="151" t="s">
        <v>20</v>
      </c>
      <c r="F1425" s="269">
        <f t="shared" ref="F1425:G1426" si="362">F1426</f>
        <v>260</v>
      </c>
      <c r="G1425" s="158">
        <f t="shared" si="362"/>
        <v>257.76</v>
      </c>
      <c r="H1425" s="131">
        <f t="shared" si="357"/>
        <v>99.138461538461527</v>
      </c>
    </row>
    <row r="1426" spans="1:8" ht="18.75" x14ac:dyDescent="0.2">
      <c r="A1426" s="162" t="s">
        <v>24</v>
      </c>
      <c r="B1426" s="141" t="s">
        <v>1013</v>
      </c>
      <c r="C1426" s="141" t="s">
        <v>990</v>
      </c>
      <c r="D1426" s="268" t="s">
        <v>246</v>
      </c>
      <c r="E1426" s="151" t="s">
        <v>25</v>
      </c>
      <c r="F1426" s="269">
        <f t="shared" si="362"/>
        <v>260</v>
      </c>
      <c r="G1426" s="158">
        <f t="shared" si="362"/>
        <v>257.76</v>
      </c>
      <c r="H1426" s="131">
        <f t="shared" si="357"/>
        <v>99.138461538461527</v>
      </c>
    </row>
    <row r="1427" spans="1:8" s="82" customFormat="1" ht="18.75" hidden="1" x14ac:dyDescent="0.2">
      <c r="A1427" s="27" t="s">
        <v>72</v>
      </c>
      <c r="B1427" s="2" t="s">
        <v>1013</v>
      </c>
      <c r="C1427" s="2" t="s">
        <v>990</v>
      </c>
      <c r="D1427" s="22" t="s">
        <v>246</v>
      </c>
      <c r="E1427" s="5" t="s">
        <v>73</v>
      </c>
      <c r="F1427" s="6">
        <v>260</v>
      </c>
      <c r="G1427" s="14">
        <v>257.76</v>
      </c>
      <c r="H1427" s="97">
        <f t="shared" si="357"/>
        <v>99.138461538461527</v>
      </c>
    </row>
    <row r="1428" spans="1:8" ht="47.25" x14ac:dyDescent="0.2">
      <c r="A1428" s="154" t="s">
        <v>691</v>
      </c>
      <c r="B1428" s="133" t="s">
        <v>1013</v>
      </c>
      <c r="C1428" s="133" t="s">
        <v>990</v>
      </c>
      <c r="D1428" s="139" t="s">
        <v>692</v>
      </c>
      <c r="E1428" s="161"/>
      <c r="F1428" s="222">
        <f>F1429</f>
        <v>5970</v>
      </c>
      <c r="G1428" s="222">
        <f t="shared" ref="G1428:G1430" si="363">G1429</f>
        <v>5964.4468999999999</v>
      </c>
      <c r="H1428" s="131">
        <f t="shared" si="357"/>
        <v>99.906983249581245</v>
      </c>
    </row>
    <row r="1429" spans="1:8" ht="18.75" x14ac:dyDescent="0.2">
      <c r="A1429" s="175" t="s">
        <v>101</v>
      </c>
      <c r="B1429" s="136" t="s">
        <v>1013</v>
      </c>
      <c r="C1429" s="136" t="s">
        <v>990</v>
      </c>
      <c r="D1429" s="137" t="s">
        <v>693</v>
      </c>
      <c r="E1429" s="136"/>
      <c r="F1429" s="266">
        <f>F1430+F1434</f>
        <v>5970</v>
      </c>
      <c r="G1429" s="266">
        <f t="shared" ref="G1429" si="364">G1430+G1434</f>
        <v>5964.4468999999999</v>
      </c>
      <c r="H1429" s="131">
        <f t="shared" si="357"/>
        <v>99.906983249581245</v>
      </c>
    </row>
    <row r="1430" spans="1:8" ht="18.75" x14ac:dyDescent="0.2">
      <c r="A1430" s="155" t="s">
        <v>102</v>
      </c>
      <c r="B1430" s="148" t="s">
        <v>1013</v>
      </c>
      <c r="C1430" s="148" t="s">
        <v>990</v>
      </c>
      <c r="D1430" s="142" t="s">
        <v>694</v>
      </c>
      <c r="E1430" s="148"/>
      <c r="F1430" s="267">
        <f>F1431</f>
        <v>290</v>
      </c>
      <c r="G1430" s="156">
        <f t="shared" si="363"/>
        <v>284.44690000000003</v>
      </c>
      <c r="H1430" s="131">
        <f t="shared" si="357"/>
        <v>98.085137931034495</v>
      </c>
    </row>
    <row r="1431" spans="1:8" ht="31.5" x14ac:dyDescent="0.2">
      <c r="A1431" s="162" t="s">
        <v>18</v>
      </c>
      <c r="B1431" s="141" t="s">
        <v>1013</v>
      </c>
      <c r="C1431" s="141" t="s">
        <v>990</v>
      </c>
      <c r="D1431" s="268" t="s">
        <v>694</v>
      </c>
      <c r="E1431" s="151" t="s">
        <v>20</v>
      </c>
      <c r="F1431" s="269">
        <f t="shared" ref="F1431:G1432" si="365">F1432</f>
        <v>290</v>
      </c>
      <c r="G1431" s="158">
        <f t="shared" si="365"/>
        <v>284.44690000000003</v>
      </c>
      <c r="H1431" s="131">
        <f t="shared" si="357"/>
        <v>98.085137931034495</v>
      </c>
    </row>
    <row r="1432" spans="1:8" ht="18.75" x14ac:dyDescent="0.2">
      <c r="A1432" s="162" t="s">
        <v>24</v>
      </c>
      <c r="B1432" s="141" t="s">
        <v>1013</v>
      </c>
      <c r="C1432" s="141" t="s">
        <v>990</v>
      </c>
      <c r="D1432" s="268" t="s">
        <v>694</v>
      </c>
      <c r="E1432" s="151" t="s">
        <v>25</v>
      </c>
      <c r="F1432" s="269">
        <f t="shared" si="365"/>
        <v>290</v>
      </c>
      <c r="G1432" s="158">
        <f t="shared" si="365"/>
        <v>284.44690000000003</v>
      </c>
      <c r="H1432" s="131">
        <f t="shared" si="357"/>
        <v>98.085137931034495</v>
      </c>
    </row>
    <row r="1433" spans="1:8" s="82" customFormat="1" ht="18.75" hidden="1" x14ac:dyDescent="0.2">
      <c r="A1433" s="27" t="s">
        <v>72</v>
      </c>
      <c r="B1433" s="2" t="s">
        <v>1013</v>
      </c>
      <c r="C1433" s="2" t="s">
        <v>990</v>
      </c>
      <c r="D1433" s="22" t="s">
        <v>694</v>
      </c>
      <c r="E1433" s="5" t="s">
        <v>73</v>
      </c>
      <c r="F1433" s="6">
        <v>290</v>
      </c>
      <c r="G1433" s="14">
        <v>284.44690000000003</v>
      </c>
      <c r="H1433" s="97">
        <f t="shared" si="357"/>
        <v>98.085137931034495</v>
      </c>
    </row>
    <row r="1434" spans="1:8" ht="31.5" x14ac:dyDescent="0.2">
      <c r="A1434" s="155" t="s">
        <v>1115</v>
      </c>
      <c r="B1434" s="148" t="s">
        <v>1013</v>
      </c>
      <c r="C1434" s="148" t="s">
        <v>990</v>
      </c>
      <c r="D1434" s="142" t="s">
        <v>695</v>
      </c>
      <c r="E1434" s="148"/>
      <c r="F1434" s="156">
        <f>F1435</f>
        <v>5680</v>
      </c>
      <c r="G1434" s="156">
        <f t="shared" ref="G1434" si="366">G1435</f>
        <v>5680</v>
      </c>
      <c r="H1434" s="131">
        <f t="shared" si="357"/>
        <v>100</v>
      </c>
    </row>
    <row r="1435" spans="1:8" ht="18.75" x14ac:dyDescent="0.2">
      <c r="A1435" s="162" t="s">
        <v>22</v>
      </c>
      <c r="B1435" s="141" t="s">
        <v>1013</v>
      </c>
      <c r="C1435" s="141" t="s">
        <v>990</v>
      </c>
      <c r="D1435" s="146" t="s">
        <v>695</v>
      </c>
      <c r="E1435" s="151" t="s">
        <v>23</v>
      </c>
      <c r="F1435" s="269">
        <f t="shared" ref="F1435:G1436" si="367">F1436</f>
        <v>5680</v>
      </c>
      <c r="G1435" s="158">
        <f t="shared" si="367"/>
        <v>5680</v>
      </c>
      <c r="H1435" s="131">
        <f t="shared" si="357"/>
        <v>100</v>
      </c>
    </row>
    <row r="1436" spans="1:8" ht="31.5" x14ac:dyDescent="0.2">
      <c r="A1436" s="162" t="s">
        <v>108</v>
      </c>
      <c r="B1436" s="141" t="s">
        <v>1013</v>
      </c>
      <c r="C1436" s="141" t="s">
        <v>990</v>
      </c>
      <c r="D1436" s="146" t="s">
        <v>695</v>
      </c>
      <c r="E1436" s="151" t="s">
        <v>126</v>
      </c>
      <c r="F1436" s="269">
        <f t="shared" si="367"/>
        <v>5680</v>
      </c>
      <c r="G1436" s="158">
        <f t="shared" si="367"/>
        <v>5680</v>
      </c>
      <c r="H1436" s="131">
        <f t="shared" si="357"/>
        <v>100</v>
      </c>
    </row>
    <row r="1437" spans="1:8" s="82" customFormat="1" ht="31.5" hidden="1" x14ac:dyDescent="0.2">
      <c r="A1437" s="27" t="s">
        <v>116</v>
      </c>
      <c r="B1437" s="2" t="s">
        <v>1013</v>
      </c>
      <c r="C1437" s="2" t="s">
        <v>990</v>
      </c>
      <c r="D1437" s="4" t="s">
        <v>695</v>
      </c>
      <c r="E1437" s="2" t="s">
        <v>127</v>
      </c>
      <c r="F1437" s="31">
        <f>8170-2490</f>
        <v>5680</v>
      </c>
      <c r="G1437" s="14">
        <v>5680</v>
      </c>
      <c r="H1437" s="97">
        <f t="shared" si="357"/>
        <v>100</v>
      </c>
    </row>
    <row r="1438" spans="1:8" ht="31.5" x14ac:dyDescent="0.2">
      <c r="A1438" s="132" t="s">
        <v>1048</v>
      </c>
      <c r="B1438" s="133" t="s">
        <v>1013</v>
      </c>
      <c r="C1438" s="133" t="s">
        <v>990</v>
      </c>
      <c r="D1438" s="133" t="s">
        <v>562</v>
      </c>
      <c r="E1438" s="133"/>
      <c r="F1438" s="134">
        <f t="shared" ref="F1438:G1439" si="368">F1439</f>
        <v>21846</v>
      </c>
      <c r="G1438" s="134">
        <f t="shared" si="368"/>
        <v>21818.901140000002</v>
      </c>
      <c r="H1438" s="131">
        <f t="shared" si="357"/>
        <v>99.875955048979222</v>
      </c>
    </row>
    <row r="1439" spans="1:8" ht="31.5" x14ac:dyDescent="0.2">
      <c r="A1439" s="135" t="s">
        <v>608</v>
      </c>
      <c r="B1439" s="136" t="s">
        <v>1013</v>
      </c>
      <c r="C1439" s="136" t="s">
        <v>990</v>
      </c>
      <c r="D1439" s="137" t="s">
        <v>577</v>
      </c>
      <c r="E1439" s="136"/>
      <c r="F1439" s="138">
        <f t="shared" si="368"/>
        <v>21846</v>
      </c>
      <c r="G1439" s="138">
        <f t="shared" si="368"/>
        <v>21818.901140000002</v>
      </c>
      <c r="H1439" s="131">
        <f t="shared" si="357"/>
        <v>99.875955048979222</v>
      </c>
    </row>
    <row r="1440" spans="1:8" ht="31.5" x14ac:dyDescent="0.2">
      <c r="A1440" s="132" t="s">
        <v>609</v>
      </c>
      <c r="B1440" s="133" t="s">
        <v>1013</v>
      </c>
      <c r="C1440" s="133" t="s">
        <v>990</v>
      </c>
      <c r="D1440" s="139" t="s">
        <v>578</v>
      </c>
      <c r="E1440" s="133"/>
      <c r="F1440" s="134">
        <f t="shared" ref="F1440:G1440" si="369">F1441+F1445+F1449</f>
        <v>21846</v>
      </c>
      <c r="G1440" s="134">
        <f t="shared" si="369"/>
        <v>21818.901140000002</v>
      </c>
      <c r="H1440" s="131">
        <f t="shared" si="357"/>
        <v>99.875955048979222</v>
      </c>
    </row>
    <row r="1441" spans="1:8" ht="31.5" x14ac:dyDescent="0.2">
      <c r="A1441" s="155" t="s">
        <v>580</v>
      </c>
      <c r="B1441" s="148" t="s">
        <v>1013</v>
      </c>
      <c r="C1441" s="148" t="s">
        <v>990</v>
      </c>
      <c r="D1441" s="142" t="s">
        <v>579</v>
      </c>
      <c r="E1441" s="148"/>
      <c r="F1441" s="144">
        <f t="shared" ref="F1441:G1443" si="370">F1442</f>
        <v>3683</v>
      </c>
      <c r="G1441" s="144">
        <f t="shared" si="370"/>
        <v>3682.9</v>
      </c>
      <c r="H1441" s="131">
        <f t="shared" si="357"/>
        <v>99.997284822155848</v>
      </c>
    </row>
    <row r="1442" spans="1:8" ht="31.5" x14ac:dyDescent="0.2">
      <c r="A1442" s="157" t="s">
        <v>18</v>
      </c>
      <c r="B1442" s="141" t="s">
        <v>1013</v>
      </c>
      <c r="C1442" s="141" t="s">
        <v>990</v>
      </c>
      <c r="D1442" s="146" t="s">
        <v>579</v>
      </c>
      <c r="E1442" s="141" t="s">
        <v>20</v>
      </c>
      <c r="F1442" s="147">
        <f t="shared" si="370"/>
        <v>3683</v>
      </c>
      <c r="G1442" s="147">
        <f t="shared" si="370"/>
        <v>3682.9</v>
      </c>
      <c r="H1442" s="131">
        <f t="shared" si="357"/>
        <v>99.997284822155848</v>
      </c>
    </row>
    <row r="1443" spans="1:8" ht="18.75" x14ac:dyDescent="0.2">
      <c r="A1443" s="157" t="s">
        <v>24</v>
      </c>
      <c r="B1443" s="141" t="s">
        <v>1013</v>
      </c>
      <c r="C1443" s="141" t="s">
        <v>990</v>
      </c>
      <c r="D1443" s="146" t="s">
        <v>579</v>
      </c>
      <c r="E1443" s="141" t="s">
        <v>25</v>
      </c>
      <c r="F1443" s="147">
        <f t="shared" si="370"/>
        <v>3683</v>
      </c>
      <c r="G1443" s="147">
        <f t="shared" si="370"/>
        <v>3682.9</v>
      </c>
      <c r="H1443" s="131">
        <f t="shared" si="357"/>
        <v>99.997284822155848</v>
      </c>
    </row>
    <row r="1444" spans="1:8" s="82" customFormat="1" ht="18.75" hidden="1" x14ac:dyDescent="0.2">
      <c r="A1444" s="28" t="s">
        <v>72</v>
      </c>
      <c r="B1444" s="2" t="s">
        <v>1013</v>
      </c>
      <c r="C1444" s="2" t="s">
        <v>990</v>
      </c>
      <c r="D1444" s="4" t="s">
        <v>579</v>
      </c>
      <c r="E1444" s="2" t="s">
        <v>73</v>
      </c>
      <c r="F1444" s="10">
        <v>3683</v>
      </c>
      <c r="G1444" s="10">
        <v>3682.9</v>
      </c>
      <c r="H1444" s="97">
        <f t="shared" si="357"/>
        <v>99.997284822155848</v>
      </c>
    </row>
    <row r="1445" spans="1:8" ht="47.25" x14ac:dyDescent="0.2">
      <c r="A1445" s="155" t="s">
        <v>584</v>
      </c>
      <c r="B1445" s="148" t="s">
        <v>1013</v>
      </c>
      <c r="C1445" s="148" t="s">
        <v>990</v>
      </c>
      <c r="D1445" s="148" t="s">
        <v>581</v>
      </c>
      <c r="E1445" s="148"/>
      <c r="F1445" s="144">
        <f t="shared" ref="F1445:G1447" si="371">F1446</f>
        <v>3583</v>
      </c>
      <c r="G1445" s="144">
        <f t="shared" si="371"/>
        <v>3583</v>
      </c>
      <c r="H1445" s="131">
        <f t="shared" si="357"/>
        <v>100</v>
      </c>
    </row>
    <row r="1446" spans="1:8" ht="31.5" x14ac:dyDescent="0.2">
      <c r="A1446" s="157" t="s">
        <v>18</v>
      </c>
      <c r="B1446" s="141" t="s">
        <v>1013</v>
      </c>
      <c r="C1446" s="141" t="s">
        <v>990</v>
      </c>
      <c r="D1446" s="141" t="s">
        <v>581</v>
      </c>
      <c r="E1446" s="141" t="s">
        <v>20</v>
      </c>
      <c r="F1446" s="147">
        <f t="shared" si="371"/>
        <v>3583</v>
      </c>
      <c r="G1446" s="147">
        <f t="shared" si="371"/>
        <v>3583</v>
      </c>
      <c r="H1446" s="131">
        <f t="shared" si="357"/>
        <v>100</v>
      </c>
    </row>
    <row r="1447" spans="1:8" ht="18.75" x14ac:dyDescent="0.2">
      <c r="A1447" s="157" t="s">
        <v>24</v>
      </c>
      <c r="B1447" s="141" t="s">
        <v>1013</v>
      </c>
      <c r="C1447" s="141" t="s">
        <v>990</v>
      </c>
      <c r="D1447" s="141" t="s">
        <v>581</v>
      </c>
      <c r="E1447" s="141" t="s">
        <v>25</v>
      </c>
      <c r="F1447" s="147">
        <f t="shared" si="371"/>
        <v>3583</v>
      </c>
      <c r="G1447" s="147">
        <f t="shared" si="371"/>
        <v>3583</v>
      </c>
      <c r="H1447" s="131">
        <f t="shared" si="357"/>
        <v>100</v>
      </c>
    </row>
    <row r="1448" spans="1:8" s="82" customFormat="1" ht="18.75" hidden="1" x14ac:dyDescent="0.2">
      <c r="A1448" s="28" t="s">
        <v>72</v>
      </c>
      <c r="B1448" s="2" t="s">
        <v>1013</v>
      </c>
      <c r="C1448" s="2" t="s">
        <v>990</v>
      </c>
      <c r="D1448" s="2" t="s">
        <v>581</v>
      </c>
      <c r="E1448" s="2" t="s">
        <v>73</v>
      </c>
      <c r="F1448" s="10">
        <v>3583</v>
      </c>
      <c r="G1448" s="10">
        <v>3583</v>
      </c>
      <c r="H1448" s="97">
        <f t="shared" si="357"/>
        <v>100</v>
      </c>
    </row>
    <row r="1449" spans="1:8" ht="18.75" x14ac:dyDescent="0.2">
      <c r="A1449" s="155" t="s">
        <v>582</v>
      </c>
      <c r="B1449" s="148" t="s">
        <v>1013</v>
      </c>
      <c r="C1449" s="148" t="s">
        <v>990</v>
      </c>
      <c r="D1449" s="148" t="s">
        <v>583</v>
      </c>
      <c r="E1449" s="148"/>
      <c r="F1449" s="144">
        <f t="shared" ref="F1449:G1451" si="372">F1450</f>
        <v>14580</v>
      </c>
      <c r="G1449" s="144">
        <f t="shared" si="372"/>
        <v>14553.00114</v>
      </c>
      <c r="H1449" s="131">
        <f t="shared" si="357"/>
        <v>99.814822633744853</v>
      </c>
    </row>
    <row r="1450" spans="1:8" ht="31.5" x14ac:dyDescent="0.2">
      <c r="A1450" s="157" t="s">
        <v>18</v>
      </c>
      <c r="B1450" s="141" t="s">
        <v>1013</v>
      </c>
      <c r="C1450" s="141" t="s">
        <v>990</v>
      </c>
      <c r="D1450" s="141" t="s">
        <v>583</v>
      </c>
      <c r="E1450" s="141" t="s">
        <v>20</v>
      </c>
      <c r="F1450" s="147">
        <f t="shared" si="372"/>
        <v>14580</v>
      </c>
      <c r="G1450" s="147">
        <f t="shared" si="372"/>
        <v>14553.00114</v>
      </c>
      <c r="H1450" s="131">
        <f t="shared" si="357"/>
        <v>99.814822633744853</v>
      </c>
    </row>
    <row r="1451" spans="1:8" ht="18.75" x14ac:dyDescent="0.2">
      <c r="A1451" s="157" t="s">
        <v>24</v>
      </c>
      <c r="B1451" s="141" t="s">
        <v>1013</v>
      </c>
      <c r="C1451" s="141" t="s">
        <v>990</v>
      </c>
      <c r="D1451" s="141" t="s">
        <v>583</v>
      </c>
      <c r="E1451" s="141" t="s">
        <v>25</v>
      </c>
      <c r="F1451" s="147">
        <f t="shared" si="372"/>
        <v>14580</v>
      </c>
      <c r="G1451" s="147">
        <f t="shared" si="372"/>
        <v>14553.00114</v>
      </c>
      <c r="H1451" s="131">
        <f t="shared" si="357"/>
        <v>99.814822633744853</v>
      </c>
    </row>
    <row r="1452" spans="1:8" s="82" customFormat="1" ht="18.75" hidden="1" x14ac:dyDescent="0.2">
      <c r="A1452" s="28" t="s">
        <v>72</v>
      </c>
      <c r="B1452" s="2" t="s">
        <v>1013</v>
      </c>
      <c r="C1452" s="2" t="s">
        <v>990</v>
      </c>
      <c r="D1452" s="2" t="s">
        <v>583</v>
      </c>
      <c r="E1452" s="2" t="s">
        <v>73</v>
      </c>
      <c r="F1452" s="10">
        <v>14580</v>
      </c>
      <c r="G1452" s="10">
        <v>14553.00114</v>
      </c>
      <c r="H1452" s="97">
        <f t="shared" si="357"/>
        <v>99.814822633744853</v>
      </c>
    </row>
    <row r="1453" spans="1:8" ht="31.5" x14ac:dyDescent="0.2">
      <c r="A1453" s="132" t="s">
        <v>1023</v>
      </c>
      <c r="B1453" s="133" t="s">
        <v>1013</v>
      </c>
      <c r="C1453" s="133" t="s">
        <v>990</v>
      </c>
      <c r="D1453" s="133" t="s">
        <v>178</v>
      </c>
      <c r="E1453" s="133"/>
      <c r="F1453" s="134">
        <f>F1454</f>
        <v>7256</v>
      </c>
      <c r="G1453" s="134">
        <f t="shared" ref="G1453" si="373">G1454</f>
        <v>7245.6716300000007</v>
      </c>
      <c r="H1453" s="131">
        <f t="shared" si="357"/>
        <v>99.857657524807067</v>
      </c>
    </row>
    <row r="1454" spans="1:8" ht="18.75" x14ac:dyDescent="0.2">
      <c r="A1454" s="135" t="s">
        <v>329</v>
      </c>
      <c r="B1454" s="136" t="s">
        <v>1013</v>
      </c>
      <c r="C1454" s="136" t="s">
        <v>990</v>
      </c>
      <c r="D1454" s="137" t="s">
        <v>331</v>
      </c>
      <c r="E1454" s="136"/>
      <c r="F1454" s="138">
        <f t="shared" ref="F1454:G1454" si="374">F1455</f>
        <v>7256</v>
      </c>
      <c r="G1454" s="138">
        <f t="shared" si="374"/>
        <v>7245.6716300000007</v>
      </c>
      <c r="H1454" s="131">
        <f t="shared" si="357"/>
        <v>99.857657524807067</v>
      </c>
    </row>
    <row r="1455" spans="1:8" ht="47.25" x14ac:dyDescent="0.2">
      <c r="A1455" s="132" t="s">
        <v>332</v>
      </c>
      <c r="B1455" s="133" t="s">
        <v>1013</v>
      </c>
      <c r="C1455" s="133" t="s">
        <v>990</v>
      </c>
      <c r="D1455" s="139" t="s">
        <v>330</v>
      </c>
      <c r="E1455" s="161"/>
      <c r="F1455" s="222">
        <f>F1456+F1460</f>
        <v>7256</v>
      </c>
      <c r="G1455" s="222">
        <f>G1456+G1460</f>
        <v>7245.6716300000007</v>
      </c>
      <c r="H1455" s="131">
        <f t="shared" si="357"/>
        <v>99.857657524807067</v>
      </c>
    </row>
    <row r="1456" spans="1:8" ht="63" x14ac:dyDescent="0.2">
      <c r="A1456" s="155" t="s">
        <v>435</v>
      </c>
      <c r="B1456" s="148" t="s">
        <v>1013</v>
      </c>
      <c r="C1456" s="148" t="s">
        <v>990</v>
      </c>
      <c r="D1456" s="142" t="s">
        <v>333</v>
      </c>
      <c r="E1456" s="177"/>
      <c r="F1456" s="144">
        <f>F1457</f>
        <v>4647.8999999999996</v>
      </c>
      <c r="G1456" s="144">
        <f t="shared" ref="G1456:G1457" si="375">G1457</f>
        <v>4637.5716300000004</v>
      </c>
      <c r="H1456" s="131">
        <f t="shared" si="357"/>
        <v>99.777784160588666</v>
      </c>
    </row>
    <row r="1457" spans="1:8" ht="31.5" x14ac:dyDescent="0.2">
      <c r="A1457" s="157" t="s">
        <v>18</v>
      </c>
      <c r="B1457" s="141" t="s">
        <v>1013</v>
      </c>
      <c r="C1457" s="141" t="s">
        <v>990</v>
      </c>
      <c r="D1457" s="146" t="s">
        <v>333</v>
      </c>
      <c r="E1457" s="141" t="s">
        <v>20</v>
      </c>
      <c r="F1457" s="147">
        <f>F1458</f>
        <v>4647.8999999999996</v>
      </c>
      <c r="G1457" s="147">
        <f t="shared" si="375"/>
        <v>4637.5716300000004</v>
      </c>
      <c r="H1457" s="131">
        <f t="shared" si="357"/>
        <v>99.777784160588666</v>
      </c>
    </row>
    <row r="1458" spans="1:8" ht="18.75" x14ac:dyDescent="0.2">
      <c r="A1458" s="157" t="s">
        <v>24</v>
      </c>
      <c r="B1458" s="141" t="s">
        <v>1013</v>
      </c>
      <c r="C1458" s="141" t="s">
        <v>990</v>
      </c>
      <c r="D1458" s="146" t="s">
        <v>333</v>
      </c>
      <c r="E1458" s="141" t="s">
        <v>25</v>
      </c>
      <c r="F1458" s="147">
        <f>F1459</f>
        <v>4647.8999999999996</v>
      </c>
      <c r="G1458" s="147">
        <f>G1459</f>
        <v>4637.5716300000004</v>
      </c>
      <c r="H1458" s="131">
        <f t="shared" si="357"/>
        <v>99.777784160588666</v>
      </c>
    </row>
    <row r="1459" spans="1:8" s="82" customFormat="1" ht="18.75" hidden="1" x14ac:dyDescent="0.2">
      <c r="A1459" s="28" t="s">
        <v>72</v>
      </c>
      <c r="B1459" s="2" t="s">
        <v>1013</v>
      </c>
      <c r="C1459" s="2" t="s">
        <v>990</v>
      </c>
      <c r="D1459" s="4" t="s">
        <v>333</v>
      </c>
      <c r="E1459" s="2" t="s">
        <v>73</v>
      </c>
      <c r="F1459" s="10">
        <f>4250+512.9-115</f>
        <v>4647.8999999999996</v>
      </c>
      <c r="G1459" s="10">
        <v>4637.5716300000004</v>
      </c>
      <c r="H1459" s="97">
        <f t="shared" si="357"/>
        <v>99.777784160588666</v>
      </c>
    </row>
    <row r="1460" spans="1:8" ht="94.5" x14ac:dyDescent="0.2">
      <c r="A1460" s="155" t="s">
        <v>1062</v>
      </c>
      <c r="B1460" s="148" t="s">
        <v>1013</v>
      </c>
      <c r="C1460" s="148" t="s">
        <v>990</v>
      </c>
      <c r="D1460" s="142" t="s">
        <v>837</v>
      </c>
      <c r="E1460" s="148"/>
      <c r="F1460" s="168">
        <f t="shared" ref="F1460:G1462" si="376">F1461</f>
        <v>2608.1</v>
      </c>
      <c r="G1460" s="168">
        <f t="shared" si="376"/>
        <v>2608.1</v>
      </c>
      <c r="H1460" s="131">
        <f t="shared" ref="H1460:H1518" si="377">G1460/F1460*100</f>
        <v>100</v>
      </c>
    </row>
    <row r="1461" spans="1:8" ht="31.5" x14ac:dyDescent="0.2">
      <c r="A1461" s="157" t="s">
        <v>18</v>
      </c>
      <c r="B1461" s="141" t="s">
        <v>1013</v>
      </c>
      <c r="C1461" s="141" t="s">
        <v>990</v>
      </c>
      <c r="D1461" s="146" t="s">
        <v>837</v>
      </c>
      <c r="E1461" s="141" t="s">
        <v>20</v>
      </c>
      <c r="F1461" s="166">
        <f t="shared" si="376"/>
        <v>2608.1</v>
      </c>
      <c r="G1461" s="166">
        <f t="shared" si="376"/>
        <v>2608.1</v>
      </c>
      <c r="H1461" s="131">
        <f t="shared" si="377"/>
        <v>100</v>
      </c>
    </row>
    <row r="1462" spans="1:8" ht="18.75" x14ac:dyDescent="0.2">
      <c r="A1462" s="157" t="s">
        <v>24</v>
      </c>
      <c r="B1462" s="141" t="s">
        <v>1013</v>
      </c>
      <c r="C1462" s="141" t="s">
        <v>990</v>
      </c>
      <c r="D1462" s="146" t="s">
        <v>837</v>
      </c>
      <c r="E1462" s="141" t="s">
        <v>25</v>
      </c>
      <c r="F1462" s="166">
        <f t="shared" si="376"/>
        <v>2608.1</v>
      </c>
      <c r="G1462" s="166">
        <f t="shared" si="376"/>
        <v>2608.1</v>
      </c>
      <c r="H1462" s="131">
        <f t="shared" si="377"/>
        <v>100</v>
      </c>
    </row>
    <row r="1463" spans="1:8" s="82" customFormat="1" ht="18.75" hidden="1" x14ac:dyDescent="0.2">
      <c r="A1463" s="28" t="s">
        <v>72</v>
      </c>
      <c r="B1463" s="2" t="s">
        <v>1013</v>
      </c>
      <c r="C1463" s="2" t="s">
        <v>990</v>
      </c>
      <c r="D1463" s="4" t="s">
        <v>837</v>
      </c>
      <c r="E1463" s="2" t="s">
        <v>73</v>
      </c>
      <c r="F1463" s="36">
        <f>2371+237.1</f>
        <v>2608.1</v>
      </c>
      <c r="G1463" s="36">
        <v>2608.1</v>
      </c>
      <c r="H1463" s="97">
        <f t="shared" si="377"/>
        <v>100</v>
      </c>
    </row>
    <row r="1464" spans="1:8" ht="31.5" x14ac:dyDescent="0.2">
      <c r="A1464" s="132" t="s">
        <v>991</v>
      </c>
      <c r="B1464" s="133" t="s">
        <v>1013</v>
      </c>
      <c r="C1464" s="133" t="s">
        <v>990</v>
      </c>
      <c r="D1464" s="211" t="s">
        <v>156</v>
      </c>
      <c r="E1464" s="211"/>
      <c r="F1464" s="134">
        <f>F1465</f>
        <v>23</v>
      </c>
      <c r="G1464" s="134">
        <f t="shared" ref="G1464" si="378">G1465</f>
        <v>23</v>
      </c>
      <c r="H1464" s="131">
        <f t="shared" si="377"/>
        <v>100</v>
      </c>
    </row>
    <row r="1465" spans="1:8" ht="31.5" x14ac:dyDescent="0.2">
      <c r="A1465" s="135" t="s">
        <v>131</v>
      </c>
      <c r="B1465" s="136" t="s">
        <v>1013</v>
      </c>
      <c r="C1465" s="136" t="s">
        <v>990</v>
      </c>
      <c r="D1465" s="137" t="s">
        <v>170</v>
      </c>
      <c r="E1465" s="136"/>
      <c r="F1465" s="138">
        <f t="shared" ref="F1465:G1468" si="379">F1466</f>
        <v>23</v>
      </c>
      <c r="G1465" s="138">
        <f t="shared" si="379"/>
        <v>23</v>
      </c>
      <c r="H1465" s="131">
        <f t="shared" si="377"/>
        <v>100</v>
      </c>
    </row>
    <row r="1466" spans="1:8" ht="18.75" x14ac:dyDescent="0.2">
      <c r="A1466" s="132" t="s">
        <v>556</v>
      </c>
      <c r="B1466" s="133" t="s">
        <v>1013</v>
      </c>
      <c r="C1466" s="133" t="s">
        <v>990</v>
      </c>
      <c r="D1466" s="139" t="s">
        <v>557</v>
      </c>
      <c r="E1466" s="161"/>
      <c r="F1466" s="134">
        <f t="shared" si="379"/>
        <v>23</v>
      </c>
      <c r="G1466" s="134">
        <f t="shared" si="379"/>
        <v>23</v>
      </c>
      <c r="H1466" s="131">
        <f t="shared" si="377"/>
        <v>100</v>
      </c>
    </row>
    <row r="1467" spans="1:8" ht="18.75" x14ac:dyDescent="0.2">
      <c r="A1467" s="140" t="s">
        <v>1025</v>
      </c>
      <c r="B1467" s="148" t="s">
        <v>1013</v>
      </c>
      <c r="C1467" s="148" t="s">
        <v>990</v>
      </c>
      <c r="D1467" s="148" t="s">
        <v>558</v>
      </c>
      <c r="E1467" s="148"/>
      <c r="F1467" s="144">
        <f t="shared" si="379"/>
        <v>23</v>
      </c>
      <c r="G1467" s="144">
        <f t="shared" si="379"/>
        <v>23</v>
      </c>
      <c r="H1467" s="131">
        <f t="shared" si="377"/>
        <v>100</v>
      </c>
    </row>
    <row r="1468" spans="1:8" ht="18.75" x14ac:dyDescent="0.2">
      <c r="A1468" s="145" t="s">
        <v>22</v>
      </c>
      <c r="B1468" s="141" t="s">
        <v>1013</v>
      </c>
      <c r="C1468" s="141" t="s">
        <v>990</v>
      </c>
      <c r="D1468" s="141" t="s">
        <v>558</v>
      </c>
      <c r="E1468" s="141" t="s">
        <v>23</v>
      </c>
      <c r="F1468" s="147">
        <f t="shared" si="379"/>
        <v>23</v>
      </c>
      <c r="G1468" s="147">
        <f t="shared" si="379"/>
        <v>23</v>
      </c>
      <c r="H1468" s="131">
        <f t="shared" si="377"/>
        <v>100</v>
      </c>
    </row>
    <row r="1469" spans="1:8" ht="18.75" x14ac:dyDescent="0.2">
      <c r="A1469" s="145" t="s">
        <v>58</v>
      </c>
      <c r="B1469" s="141" t="s">
        <v>1013</v>
      </c>
      <c r="C1469" s="141" t="s">
        <v>990</v>
      </c>
      <c r="D1469" s="141" t="s">
        <v>558</v>
      </c>
      <c r="E1469" s="141" t="s">
        <v>59</v>
      </c>
      <c r="F1469" s="147">
        <v>23</v>
      </c>
      <c r="G1469" s="147">
        <v>23</v>
      </c>
      <c r="H1469" s="131">
        <f t="shared" si="377"/>
        <v>100</v>
      </c>
    </row>
    <row r="1470" spans="1:8" ht="31.5" x14ac:dyDescent="0.2">
      <c r="A1470" s="132" t="s">
        <v>1038</v>
      </c>
      <c r="B1470" s="133" t="s">
        <v>1013</v>
      </c>
      <c r="C1470" s="133" t="s">
        <v>990</v>
      </c>
      <c r="D1470" s="133" t="s">
        <v>141</v>
      </c>
      <c r="E1470" s="141"/>
      <c r="F1470" s="134">
        <f t="shared" ref="F1470:G1474" si="380">F1471</f>
        <v>1097</v>
      </c>
      <c r="G1470" s="134">
        <f t="shared" si="380"/>
        <v>1046.46432</v>
      </c>
      <c r="H1470" s="131">
        <f t="shared" si="377"/>
        <v>95.393283500455794</v>
      </c>
    </row>
    <row r="1471" spans="1:8" ht="31.5" x14ac:dyDescent="0.2">
      <c r="A1471" s="132" t="s">
        <v>523</v>
      </c>
      <c r="B1471" s="291" t="s">
        <v>1013</v>
      </c>
      <c r="C1471" s="291" t="s">
        <v>990</v>
      </c>
      <c r="D1471" s="133" t="s">
        <v>147</v>
      </c>
      <c r="E1471" s="133"/>
      <c r="F1471" s="134">
        <f t="shared" si="380"/>
        <v>1097</v>
      </c>
      <c r="G1471" s="134">
        <f t="shared" si="380"/>
        <v>1046.46432</v>
      </c>
      <c r="H1471" s="131">
        <f t="shared" si="377"/>
        <v>95.393283500455794</v>
      </c>
    </row>
    <row r="1472" spans="1:8" ht="18.75" x14ac:dyDescent="0.2">
      <c r="A1472" s="140" t="s">
        <v>149</v>
      </c>
      <c r="B1472" s="148" t="s">
        <v>1013</v>
      </c>
      <c r="C1472" s="148" t="s">
        <v>990</v>
      </c>
      <c r="D1472" s="148" t="s">
        <v>150</v>
      </c>
      <c r="E1472" s="148"/>
      <c r="F1472" s="144">
        <f t="shared" si="380"/>
        <v>1097</v>
      </c>
      <c r="G1472" s="144">
        <f t="shared" si="380"/>
        <v>1046.46432</v>
      </c>
      <c r="H1472" s="131">
        <f t="shared" si="377"/>
        <v>95.393283500455794</v>
      </c>
    </row>
    <row r="1473" spans="1:8" ht="31.5" x14ac:dyDescent="0.2">
      <c r="A1473" s="145" t="s">
        <v>18</v>
      </c>
      <c r="B1473" s="141" t="s">
        <v>1013</v>
      </c>
      <c r="C1473" s="141" t="s">
        <v>990</v>
      </c>
      <c r="D1473" s="141" t="s">
        <v>150</v>
      </c>
      <c r="E1473" s="219">
        <v>600</v>
      </c>
      <c r="F1473" s="144">
        <f t="shared" si="380"/>
        <v>1097</v>
      </c>
      <c r="G1473" s="144">
        <f t="shared" si="380"/>
        <v>1046.46432</v>
      </c>
      <c r="H1473" s="131">
        <f t="shared" si="377"/>
        <v>95.393283500455794</v>
      </c>
    </row>
    <row r="1474" spans="1:8" ht="18.75" x14ac:dyDescent="0.2">
      <c r="A1474" s="145" t="s">
        <v>24</v>
      </c>
      <c r="B1474" s="257" t="s">
        <v>1013</v>
      </c>
      <c r="C1474" s="257" t="s">
        <v>990</v>
      </c>
      <c r="D1474" s="141" t="s">
        <v>150</v>
      </c>
      <c r="E1474" s="219">
        <v>610</v>
      </c>
      <c r="F1474" s="147">
        <f t="shared" si="380"/>
        <v>1097</v>
      </c>
      <c r="G1474" s="147">
        <f t="shared" si="380"/>
        <v>1046.46432</v>
      </c>
      <c r="H1474" s="131">
        <f t="shared" si="377"/>
        <v>95.393283500455794</v>
      </c>
    </row>
    <row r="1475" spans="1:8" s="82" customFormat="1" ht="18.75" hidden="1" x14ac:dyDescent="0.2">
      <c r="A1475" s="3" t="s">
        <v>72</v>
      </c>
      <c r="B1475" s="76" t="s">
        <v>1013</v>
      </c>
      <c r="C1475" s="76" t="s">
        <v>990</v>
      </c>
      <c r="D1475" s="2" t="s">
        <v>150</v>
      </c>
      <c r="E1475" s="49">
        <v>612</v>
      </c>
      <c r="F1475" s="10">
        <f>1155-58</f>
        <v>1097</v>
      </c>
      <c r="G1475" s="10">
        <v>1046.46432</v>
      </c>
      <c r="H1475" s="97">
        <f t="shared" si="377"/>
        <v>95.393283500455794</v>
      </c>
    </row>
    <row r="1476" spans="1:8" ht="18.75" x14ac:dyDescent="0.2">
      <c r="A1476" s="132" t="s">
        <v>54</v>
      </c>
      <c r="B1476" s="133" t="s">
        <v>1013</v>
      </c>
      <c r="C1476" s="133" t="s">
        <v>990</v>
      </c>
      <c r="D1476" s="133" t="s">
        <v>161</v>
      </c>
      <c r="E1476" s="161"/>
      <c r="F1476" s="134">
        <f t="shared" ref="F1476:G1478" si="381">F1477</f>
        <v>700</v>
      </c>
      <c r="G1476" s="134">
        <f t="shared" si="381"/>
        <v>700</v>
      </c>
      <c r="H1476" s="131">
        <f t="shared" si="377"/>
        <v>100</v>
      </c>
    </row>
    <row r="1477" spans="1:8" ht="18.75" x14ac:dyDescent="0.25">
      <c r="A1477" s="180" t="s">
        <v>979</v>
      </c>
      <c r="B1477" s="136" t="s">
        <v>1013</v>
      </c>
      <c r="C1477" s="136" t="s">
        <v>990</v>
      </c>
      <c r="D1477" s="136" t="s">
        <v>162</v>
      </c>
      <c r="E1477" s="136"/>
      <c r="F1477" s="138">
        <f t="shared" si="381"/>
        <v>700</v>
      </c>
      <c r="G1477" s="138">
        <f t="shared" si="381"/>
        <v>700</v>
      </c>
      <c r="H1477" s="131">
        <f t="shared" si="377"/>
        <v>100</v>
      </c>
    </row>
    <row r="1478" spans="1:8" ht="18.75" x14ac:dyDescent="0.2">
      <c r="A1478" s="145" t="s">
        <v>22</v>
      </c>
      <c r="B1478" s="257" t="s">
        <v>1013</v>
      </c>
      <c r="C1478" s="257" t="s">
        <v>990</v>
      </c>
      <c r="D1478" s="141" t="s">
        <v>162</v>
      </c>
      <c r="E1478" s="141" t="s">
        <v>23</v>
      </c>
      <c r="F1478" s="147">
        <f t="shared" si="381"/>
        <v>700</v>
      </c>
      <c r="G1478" s="147">
        <f t="shared" si="381"/>
        <v>700</v>
      </c>
      <c r="H1478" s="131">
        <f t="shared" si="377"/>
        <v>100</v>
      </c>
    </row>
    <row r="1479" spans="1:8" ht="18.75" x14ac:dyDescent="0.2">
      <c r="A1479" s="145" t="s">
        <v>58</v>
      </c>
      <c r="B1479" s="141" t="s">
        <v>1013</v>
      </c>
      <c r="C1479" s="141" t="s">
        <v>990</v>
      </c>
      <c r="D1479" s="141" t="s">
        <v>162</v>
      </c>
      <c r="E1479" s="141" t="s">
        <v>59</v>
      </c>
      <c r="F1479" s="147">
        <v>700</v>
      </c>
      <c r="G1479" s="147">
        <v>700</v>
      </c>
      <c r="H1479" s="131">
        <f t="shared" si="377"/>
        <v>100</v>
      </c>
    </row>
    <row r="1480" spans="1:8" ht="18.75" x14ac:dyDescent="0.2">
      <c r="A1480" s="132" t="s">
        <v>1063</v>
      </c>
      <c r="B1480" s="133" t="s">
        <v>1013</v>
      </c>
      <c r="C1480" s="133" t="s">
        <v>994</v>
      </c>
      <c r="D1480" s="133" t="s">
        <v>1061</v>
      </c>
      <c r="E1480" s="133"/>
      <c r="F1480" s="134">
        <f>F1481+F1550+F1561</f>
        <v>405216.5</v>
      </c>
      <c r="G1480" s="134">
        <f>G1481+G1550+G1561</f>
        <v>404502.22818000003</v>
      </c>
      <c r="H1480" s="131">
        <f t="shared" si="377"/>
        <v>99.823730815502344</v>
      </c>
    </row>
    <row r="1481" spans="1:8" ht="18.75" x14ac:dyDescent="0.2">
      <c r="A1481" s="132" t="s">
        <v>1000</v>
      </c>
      <c r="B1481" s="133" t="s">
        <v>1013</v>
      </c>
      <c r="C1481" s="133" t="s">
        <v>994</v>
      </c>
      <c r="D1481" s="133" t="s">
        <v>214</v>
      </c>
      <c r="E1481" s="133"/>
      <c r="F1481" s="134">
        <f>F1482+F1489</f>
        <v>404647.5</v>
      </c>
      <c r="G1481" s="134">
        <f>G1482+G1489</f>
        <v>403946.52578000003</v>
      </c>
      <c r="H1481" s="131">
        <f t="shared" si="377"/>
        <v>99.826769170697958</v>
      </c>
    </row>
    <row r="1482" spans="1:8" ht="18.75" x14ac:dyDescent="0.2">
      <c r="A1482" s="135" t="s">
        <v>94</v>
      </c>
      <c r="B1482" s="136" t="s">
        <v>1013</v>
      </c>
      <c r="C1482" s="136" t="s">
        <v>994</v>
      </c>
      <c r="D1482" s="137" t="s">
        <v>250</v>
      </c>
      <c r="E1482" s="136"/>
      <c r="F1482" s="138">
        <f t="shared" ref="F1482:G1482" si="382">F1483</f>
        <v>16.5</v>
      </c>
      <c r="G1482" s="138">
        <f t="shared" si="382"/>
        <v>15.58531</v>
      </c>
      <c r="H1482" s="131">
        <f t="shared" si="377"/>
        <v>94.456424242424248</v>
      </c>
    </row>
    <row r="1483" spans="1:8" ht="31.5" x14ac:dyDescent="0.2">
      <c r="A1483" s="154" t="s">
        <v>677</v>
      </c>
      <c r="B1483" s="136" t="s">
        <v>1013</v>
      </c>
      <c r="C1483" s="136" t="s">
        <v>994</v>
      </c>
      <c r="D1483" s="139" t="s">
        <v>678</v>
      </c>
      <c r="E1483" s="161"/>
      <c r="F1483" s="222">
        <f>F1484</f>
        <v>16.5</v>
      </c>
      <c r="G1483" s="222">
        <f>G1484</f>
        <v>15.58531</v>
      </c>
      <c r="H1483" s="131">
        <f t="shared" si="377"/>
        <v>94.456424242424248</v>
      </c>
    </row>
    <row r="1484" spans="1:8" ht="18.75" x14ac:dyDescent="0.2">
      <c r="A1484" s="155" t="s">
        <v>95</v>
      </c>
      <c r="B1484" s="136" t="s">
        <v>1013</v>
      </c>
      <c r="C1484" s="136" t="s">
        <v>994</v>
      </c>
      <c r="D1484" s="142" t="s">
        <v>679</v>
      </c>
      <c r="E1484" s="148"/>
      <c r="F1484" s="267">
        <f>F1485</f>
        <v>16.5</v>
      </c>
      <c r="G1484" s="156">
        <f t="shared" ref="G1484:G1485" si="383">G1485</f>
        <v>15.58531</v>
      </c>
      <c r="H1484" s="131">
        <f t="shared" si="377"/>
        <v>94.456424242424248</v>
      </c>
    </row>
    <row r="1485" spans="1:8" ht="18.75" x14ac:dyDescent="0.2">
      <c r="A1485" s="155" t="s">
        <v>98</v>
      </c>
      <c r="B1485" s="148" t="s">
        <v>1013</v>
      </c>
      <c r="C1485" s="148" t="s">
        <v>994</v>
      </c>
      <c r="D1485" s="142" t="s">
        <v>680</v>
      </c>
      <c r="E1485" s="148"/>
      <c r="F1485" s="267">
        <f>F1486</f>
        <v>16.5</v>
      </c>
      <c r="G1485" s="156">
        <f t="shared" si="383"/>
        <v>15.58531</v>
      </c>
      <c r="H1485" s="131">
        <f t="shared" si="377"/>
        <v>94.456424242424248</v>
      </c>
    </row>
    <row r="1486" spans="1:8" ht="31.5" x14ac:dyDescent="0.2">
      <c r="A1486" s="162" t="s">
        <v>18</v>
      </c>
      <c r="B1486" s="148" t="s">
        <v>1013</v>
      </c>
      <c r="C1486" s="148" t="s">
        <v>994</v>
      </c>
      <c r="D1486" s="268" t="s">
        <v>680</v>
      </c>
      <c r="E1486" s="151" t="s">
        <v>20</v>
      </c>
      <c r="F1486" s="269">
        <f t="shared" ref="F1486:G1487" si="384">F1487</f>
        <v>16.5</v>
      </c>
      <c r="G1486" s="158">
        <f t="shared" si="384"/>
        <v>15.58531</v>
      </c>
      <c r="H1486" s="131">
        <f t="shared" si="377"/>
        <v>94.456424242424248</v>
      </c>
    </row>
    <row r="1487" spans="1:8" ht="18.75" x14ac:dyDescent="0.2">
      <c r="A1487" s="162" t="s">
        <v>24</v>
      </c>
      <c r="B1487" s="141" t="s">
        <v>1013</v>
      </c>
      <c r="C1487" s="141" t="s">
        <v>994</v>
      </c>
      <c r="D1487" s="268" t="s">
        <v>680</v>
      </c>
      <c r="E1487" s="151" t="s">
        <v>25</v>
      </c>
      <c r="F1487" s="269">
        <f t="shared" si="384"/>
        <v>16.5</v>
      </c>
      <c r="G1487" s="158">
        <f t="shared" si="384"/>
        <v>15.58531</v>
      </c>
      <c r="H1487" s="131">
        <f t="shared" si="377"/>
        <v>94.456424242424248</v>
      </c>
    </row>
    <row r="1488" spans="1:8" s="82" customFormat="1" ht="18.75" hidden="1" x14ac:dyDescent="0.2">
      <c r="A1488" s="27" t="s">
        <v>72</v>
      </c>
      <c r="B1488" s="2" t="s">
        <v>1013</v>
      </c>
      <c r="C1488" s="2" t="s">
        <v>994</v>
      </c>
      <c r="D1488" s="22" t="s">
        <v>680</v>
      </c>
      <c r="E1488" s="5" t="s">
        <v>73</v>
      </c>
      <c r="F1488" s="6">
        <f>9.5+7</f>
        <v>16.5</v>
      </c>
      <c r="G1488" s="14">
        <v>15.58531</v>
      </c>
      <c r="H1488" s="97">
        <f t="shared" si="377"/>
        <v>94.456424242424248</v>
      </c>
    </row>
    <row r="1489" spans="1:8" ht="31.5" x14ac:dyDescent="0.2">
      <c r="A1489" s="135" t="s">
        <v>100</v>
      </c>
      <c r="B1489" s="136" t="s">
        <v>1013</v>
      </c>
      <c r="C1489" s="136" t="s">
        <v>994</v>
      </c>
      <c r="D1489" s="137" t="s">
        <v>233</v>
      </c>
      <c r="E1489" s="136"/>
      <c r="F1489" s="138">
        <f>F1490+F1505+F1540+F1545</f>
        <v>404631</v>
      </c>
      <c r="G1489" s="138">
        <f>G1490+G1505+G1540+G1545</f>
        <v>403930.94047000003</v>
      </c>
      <c r="H1489" s="131">
        <f t="shared" si="377"/>
        <v>99.826988162053837</v>
      </c>
    </row>
    <row r="1490" spans="1:8" ht="47.25" x14ac:dyDescent="0.2">
      <c r="A1490" s="154" t="s">
        <v>682</v>
      </c>
      <c r="B1490" s="133" t="s">
        <v>1013</v>
      </c>
      <c r="C1490" s="133" t="s">
        <v>994</v>
      </c>
      <c r="D1490" s="139" t="s">
        <v>234</v>
      </c>
      <c r="E1490" s="161"/>
      <c r="F1490" s="222">
        <f>F1491+F1496</f>
        <v>1596</v>
      </c>
      <c r="G1490" s="222">
        <f>G1491+G1496</f>
        <v>1551.0309999999999</v>
      </c>
      <c r="H1490" s="131">
        <f t="shared" si="377"/>
        <v>97.182393483709276</v>
      </c>
    </row>
    <row r="1491" spans="1:8" ht="18.75" x14ac:dyDescent="0.2">
      <c r="A1491" s="175" t="s">
        <v>101</v>
      </c>
      <c r="B1491" s="136" t="s">
        <v>1013</v>
      </c>
      <c r="C1491" s="136" t="s">
        <v>994</v>
      </c>
      <c r="D1491" s="137" t="s">
        <v>235</v>
      </c>
      <c r="E1491" s="136"/>
      <c r="F1491" s="266">
        <f>F1492</f>
        <v>223</v>
      </c>
      <c r="G1491" s="266">
        <f t="shared" ref="G1491:G1492" si="385">G1492</f>
        <v>222.40600000000001</v>
      </c>
      <c r="H1491" s="131">
        <f t="shared" si="377"/>
        <v>99.733632286995515</v>
      </c>
    </row>
    <row r="1492" spans="1:8" ht="18.75" x14ac:dyDescent="0.2">
      <c r="A1492" s="155" t="s">
        <v>102</v>
      </c>
      <c r="B1492" s="148" t="s">
        <v>1013</v>
      </c>
      <c r="C1492" s="148" t="s">
        <v>994</v>
      </c>
      <c r="D1492" s="142" t="s">
        <v>236</v>
      </c>
      <c r="E1492" s="148"/>
      <c r="F1492" s="267">
        <f>F1493</f>
        <v>223</v>
      </c>
      <c r="G1492" s="156">
        <f t="shared" si="385"/>
        <v>222.40600000000001</v>
      </c>
      <c r="H1492" s="131">
        <f t="shared" si="377"/>
        <v>99.733632286995515</v>
      </c>
    </row>
    <row r="1493" spans="1:8" ht="31.5" x14ac:dyDescent="0.2">
      <c r="A1493" s="162" t="s">
        <v>18</v>
      </c>
      <c r="B1493" s="141" t="s">
        <v>1013</v>
      </c>
      <c r="C1493" s="141" t="s">
        <v>994</v>
      </c>
      <c r="D1493" s="268" t="s">
        <v>236</v>
      </c>
      <c r="E1493" s="151" t="s">
        <v>20</v>
      </c>
      <c r="F1493" s="269">
        <f t="shared" ref="F1493:G1494" si="386">F1494</f>
        <v>223</v>
      </c>
      <c r="G1493" s="158">
        <f t="shared" si="386"/>
        <v>222.40600000000001</v>
      </c>
      <c r="H1493" s="131">
        <f t="shared" si="377"/>
        <v>99.733632286995515</v>
      </c>
    </row>
    <row r="1494" spans="1:8" ht="18.75" x14ac:dyDescent="0.2">
      <c r="A1494" s="162" t="s">
        <v>24</v>
      </c>
      <c r="B1494" s="141" t="s">
        <v>1013</v>
      </c>
      <c r="C1494" s="141" t="s">
        <v>994</v>
      </c>
      <c r="D1494" s="268" t="s">
        <v>236</v>
      </c>
      <c r="E1494" s="151" t="s">
        <v>25</v>
      </c>
      <c r="F1494" s="269">
        <f t="shared" si="386"/>
        <v>223</v>
      </c>
      <c r="G1494" s="158">
        <f t="shared" si="386"/>
        <v>222.40600000000001</v>
      </c>
      <c r="H1494" s="131">
        <f t="shared" si="377"/>
        <v>99.733632286995515</v>
      </c>
    </row>
    <row r="1495" spans="1:8" s="82" customFormat="1" ht="18.75" hidden="1" x14ac:dyDescent="0.2">
      <c r="A1495" s="27" t="s">
        <v>72</v>
      </c>
      <c r="B1495" s="2" t="s">
        <v>1013</v>
      </c>
      <c r="C1495" s="2" t="s">
        <v>994</v>
      </c>
      <c r="D1495" s="22" t="s">
        <v>236</v>
      </c>
      <c r="E1495" s="5" t="s">
        <v>73</v>
      </c>
      <c r="F1495" s="6">
        <f>300-77</f>
        <v>223</v>
      </c>
      <c r="G1495" s="14">
        <v>222.40600000000001</v>
      </c>
      <c r="H1495" s="97">
        <f t="shared" si="377"/>
        <v>99.733632286995515</v>
      </c>
    </row>
    <row r="1496" spans="1:8" ht="31.5" x14ac:dyDescent="0.2">
      <c r="A1496" s="155" t="s">
        <v>238</v>
      </c>
      <c r="B1496" s="148" t="s">
        <v>1013</v>
      </c>
      <c r="C1496" s="148" t="s">
        <v>994</v>
      </c>
      <c r="D1496" s="142" t="s">
        <v>239</v>
      </c>
      <c r="E1496" s="151"/>
      <c r="F1496" s="269">
        <f>F1497+F1501</f>
        <v>1373</v>
      </c>
      <c r="G1496" s="269">
        <f t="shared" ref="G1496" si="387">G1497+G1501</f>
        <v>1328.625</v>
      </c>
      <c r="H1496" s="131">
        <f t="shared" si="377"/>
        <v>96.768026219956312</v>
      </c>
    </row>
    <row r="1497" spans="1:8" ht="31.5" x14ac:dyDescent="0.2">
      <c r="A1497" s="155" t="s">
        <v>240</v>
      </c>
      <c r="B1497" s="148" t="s">
        <v>1013</v>
      </c>
      <c r="C1497" s="148" t="s">
        <v>994</v>
      </c>
      <c r="D1497" s="142" t="s">
        <v>241</v>
      </c>
      <c r="E1497" s="148"/>
      <c r="F1497" s="156">
        <f t="shared" ref="F1497:G1499" si="388">F1498</f>
        <v>1055</v>
      </c>
      <c r="G1497" s="267">
        <f t="shared" si="388"/>
        <v>1023.825</v>
      </c>
      <c r="H1497" s="131">
        <f t="shared" si="377"/>
        <v>97.045023696682463</v>
      </c>
    </row>
    <row r="1498" spans="1:8" ht="31.5" x14ac:dyDescent="0.2">
      <c r="A1498" s="162" t="s">
        <v>18</v>
      </c>
      <c r="B1498" s="141" t="s">
        <v>1013</v>
      </c>
      <c r="C1498" s="141" t="s">
        <v>994</v>
      </c>
      <c r="D1498" s="268" t="s">
        <v>241</v>
      </c>
      <c r="E1498" s="151" t="s">
        <v>20</v>
      </c>
      <c r="F1498" s="158">
        <f t="shared" si="388"/>
        <v>1055</v>
      </c>
      <c r="G1498" s="269">
        <f t="shared" si="388"/>
        <v>1023.825</v>
      </c>
      <c r="H1498" s="131">
        <f t="shared" si="377"/>
        <v>97.045023696682463</v>
      </c>
    </row>
    <row r="1499" spans="1:8" ht="18.75" x14ac:dyDescent="0.2">
      <c r="A1499" s="162" t="s">
        <v>24</v>
      </c>
      <c r="B1499" s="141" t="s">
        <v>1013</v>
      </c>
      <c r="C1499" s="141" t="s">
        <v>994</v>
      </c>
      <c r="D1499" s="268" t="s">
        <v>241</v>
      </c>
      <c r="E1499" s="151" t="s">
        <v>25</v>
      </c>
      <c r="F1499" s="158">
        <f t="shared" si="388"/>
        <v>1055</v>
      </c>
      <c r="G1499" s="269">
        <f t="shared" si="388"/>
        <v>1023.825</v>
      </c>
      <c r="H1499" s="131">
        <f t="shared" si="377"/>
        <v>97.045023696682463</v>
      </c>
    </row>
    <row r="1500" spans="1:8" s="82" customFormat="1" ht="18.75" hidden="1" x14ac:dyDescent="0.2">
      <c r="A1500" s="27" t="s">
        <v>72</v>
      </c>
      <c r="B1500" s="2" t="s">
        <v>1013</v>
      </c>
      <c r="C1500" s="2" t="s">
        <v>994</v>
      </c>
      <c r="D1500" s="22" t="s">
        <v>241</v>
      </c>
      <c r="E1500" s="5" t="s">
        <v>73</v>
      </c>
      <c r="F1500" s="10">
        <f>645+410</f>
        <v>1055</v>
      </c>
      <c r="G1500" s="84">
        <v>1023.825</v>
      </c>
      <c r="H1500" s="97">
        <f t="shared" si="377"/>
        <v>97.045023696682463</v>
      </c>
    </row>
    <row r="1501" spans="1:8" ht="31.5" x14ac:dyDescent="0.2">
      <c r="A1501" s="155" t="s">
        <v>449</v>
      </c>
      <c r="B1501" s="148" t="s">
        <v>1013</v>
      </c>
      <c r="C1501" s="148" t="s">
        <v>994</v>
      </c>
      <c r="D1501" s="142" t="s">
        <v>450</v>
      </c>
      <c r="E1501" s="148"/>
      <c r="F1501" s="156">
        <f t="shared" ref="F1501:G1503" si="389">F1502</f>
        <v>318</v>
      </c>
      <c r="G1501" s="156">
        <f t="shared" si="389"/>
        <v>304.8</v>
      </c>
      <c r="H1501" s="131">
        <f t="shared" si="377"/>
        <v>95.84905660377359</v>
      </c>
    </row>
    <row r="1502" spans="1:8" ht="31.5" x14ac:dyDescent="0.2">
      <c r="A1502" s="150" t="s">
        <v>18</v>
      </c>
      <c r="B1502" s="141" t="s">
        <v>1013</v>
      </c>
      <c r="C1502" s="141" t="s">
        <v>994</v>
      </c>
      <c r="D1502" s="146" t="s">
        <v>450</v>
      </c>
      <c r="E1502" s="151" t="s">
        <v>20</v>
      </c>
      <c r="F1502" s="158">
        <f t="shared" si="389"/>
        <v>318</v>
      </c>
      <c r="G1502" s="158">
        <f t="shared" si="389"/>
        <v>304.8</v>
      </c>
      <c r="H1502" s="131">
        <f t="shared" si="377"/>
        <v>95.84905660377359</v>
      </c>
    </row>
    <row r="1503" spans="1:8" ht="18.75" x14ac:dyDescent="0.2">
      <c r="A1503" s="150" t="s">
        <v>24</v>
      </c>
      <c r="B1503" s="148" t="s">
        <v>1013</v>
      </c>
      <c r="C1503" s="148" t="s">
        <v>994</v>
      </c>
      <c r="D1503" s="146" t="s">
        <v>450</v>
      </c>
      <c r="E1503" s="151" t="s">
        <v>25</v>
      </c>
      <c r="F1503" s="158">
        <f t="shared" si="389"/>
        <v>318</v>
      </c>
      <c r="G1503" s="158">
        <f t="shared" si="389"/>
        <v>304.8</v>
      </c>
      <c r="H1503" s="131">
        <f t="shared" si="377"/>
        <v>95.84905660377359</v>
      </c>
    </row>
    <row r="1504" spans="1:8" s="82" customFormat="1" ht="18.75" hidden="1" x14ac:dyDescent="0.2">
      <c r="A1504" s="19" t="s">
        <v>72</v>
      </c>
      <c r="B1504" s="2" t="s">
        <v>1013</v>
      </c>
      <c r="C1504" s="2" t="s">
        <v>994</v>
      </c>
      <c r="D1504" s="4" t="s">
        <v>450</v>
      </c>
      <c r="E1504" s="5" t="s">
        <v>73</v>
      </c>
      <c r="F1504" s="84">
        <v>318</v>
      </c>
      <c r="G1504" s="10">
        <v>304.8</v>
      </c>
      <c r="H1504" s="97">
        <f t="shared" si="377"/>
        <v>95.84905660377359</v>
      </c>
    </row>
    <row r="1505" spans="1:8" ht="31.5" x14ac:dyDescent="0.2">
      <c r="A1505" s="154" t="s">
        <v>683</v>
      </c>
      <c r="B1505" s="133" t="s">
        <v>1013</v>
      </c>
      <c r="C1505" s="133" t="s">
        <v>994</v>
      </c>
      <c r="D1505" s="139" t="s">
        <v>243</v>
      </c>
      <c r="E1505" s="161"/>
      <c r="F1505" s="222">
        <f>F1506+F1510+F1527+F1531</f>
        <v>389447</v>
      </c>
      <c r="G1505" s="222">
        <f>G1506+G1510+G1527+G1531</f>
        <v>388791.95594000001</v>
      </c>
      <c r="H1505" s="131">
        <f t="shared" si="377"/>
        <v>99.831801487750582</v>
      </c>
    </row>
    <row r="1506" spans="1:8" ht="31.5" x14ac:dyDescent="0.2">
      <c r="A1506" s="292" t="s">
        <v>814</v>
      </c>
      <c r="B1506" s="136" t="s">
        <v>1013</v>
      </c>
      <c r="C1506" s="136" t="s">
        <v>994</v>
      </c>
      <c r="D1506" s="137" t="s">
        <v>815</v>
      </c>
      <c r="E1506" s="136"/>
      <c r="F1506" s="179">
        <f t="shared" ref="F1506:G1508" si="390">F1507</f>
        <v>500</v>
      </c>
      <c r="G1506" s="147">
        <f t="shared" si="390"/>
        <v>492.46600000000001</v>
      </c>
      <c r="H1506" s="131">
        <f t="shared" si="377"/>
        <v>98.493200000000002</v>
      </c>
    </row>
    <row r="1507" spans="1:8" ht="31.5" x14ac:dyDescent="0.2">
      <c r="A1507" s="150" t="s">
        <v>18</v>
      </c>
      <c r="B1507" s="141" t="s">
        <v>1013</v>
      </c>
      <c r="C1507" s="141" t="s">
        <v>994</v>
      </c>
      <c r="D1507" s="146" t="s">
        <v>815</v>
      </c>
      <c r="E1507" s="141" t="s">
        <v>20</v>
      </c>
      <c r="F1507" s="160">
        <f t="shared" si="390"/>
        <v>500</v>
      </c>
      <c r="G1507" s="158">
        <f t="shared" si="390"/>
        <v>492.46600000000001</v>
      </c>
      <c r="H1507" s="131">
        <f t="shared" si="377"/>
        <v>98.493200000000002</v>
      </c>
    </row>
    <row r="1508" spans="1:8" ht="18.75" x14ac:dyDescent="0.2">
      <c r="A1508" s="150" t="s">
        <v>24</v>
      </c>
      <c r="B1508" s="141" t="s">
        <v>1013</v>
      </c>
      <c r="C1508" s="141" t="s">
        <v>994</v>
      </c>
      <c r="D1508" s="146" t="s">
        <v>815</v>
      </c>
      <c r="E1508" s="141" t="s">
        <v>25</v>
      </c>
      <c r="F1508" s="160">
        <f t="shared" si="390"/>
        <v>500</v>
      </c>
      <c r="G1508" s="158">
        <f t="shared" si="390"/>
        <v>492.46600000000001</v>
      </c>
      <c r="H1508" s="131">
        <f t="shared" si="377"/>
        <v>98.493200000000002</v>
      </c>
    </row>
    <row r="1509" spans="1:8" s="82" customFormat="1" ht="18.75" hidden="1" x14ac:dyDescent="0.2">
      <c r="A1509" s="19" t="s">
        <v>72</v>
      </c>
      <c r="B1509" s="2" t="s">
        <v>1013</v>
      </c>
      <c r="C1509" s="2" t="s">
        <v>994</v>
      </c>
      <c r="D1509" s="4" t="s">
        <v>815</v>
      </c>
      <c r="E1509" s="5" t="s">
        <v>73</v>
      </c>
      <c r="F1509" s="62">
        <v>500</v>
      </c>
      <c r="G1509" s="10">
        <v>492.46600000000001</v>
      </c>
      <c r="H1509" s="97">
        <f t="shared" si="377"/>
        <v>98.493200000000002</v>
      </c>
    </row>
    <row r="1510" spans="1:8" ht="18.75" x14ac:dyDescent="0.2">
      <c r="A1510" s="175" t="s">
        <v>101</v>
      </c>
      <c r="B1510" s="136" t="s">
        <v>1013</v>
      </c>
      <c r="C1510" s="136" t="s">
        <v>994</v>
      </c>
      <c r="D1510" s="137" t="s">
        <v>245</v>
      </c>
      <c r="E1510" s="136"/>
      <c r="F1510" s="266">
        <f>F1511+F1515+F1519+F1523</f>
        <v>97137</v>
      </c>
      <c r="G1510" s="266">
        <f>G1511+G1515+G1519+G1523</f>
        <v>96628.361359999995</v>
      </c>
      <c r="H1510" s="131">
        <f t="shared" si="377"/>
        <v>99.476369828180808</v>
      </c>
    </row>
    <row r="1511" spans="1:8" ht="47.25" x14ac:dyDescent="0.2">
      <c r="A1511" s="155" t="s">
        <v>618</v>
      </c>
      <c r="B1511" s="148" t="s">
        <v>1013</v>
      </c>
      <c r="C1511" s="148" t="s">
        <v>994</v>
      </c>
      <c r="D1511" s="142" t="s">
        <v>684</v>
      </c>
      <c r="E1511" s="148"/>
      <c r="F1511" s="267">
        <f>F1512</f>
        <v>39526</v>
      </c>
      <c r="G1511" s="156">
        <f t="shared" ref="G1511" si="391">G1512</f>
        <v>39525.999649999998</v>
      </c>
      <c r="H1511" s="131">
        <f t="shared" si="377"/>
        <v>99.999999114506892</v>
      </c>
    </row>
    <row r="1512" spans="1:8" ht="31.5" x14ac:dyDescent="0.2">
      <c r="A1512" s="162" t="s">
        <v>18</v>
      </c>
      <c r="B1512" s="141" t="s">
        <v>1013</v>
      </c>
      <c r="C1512" s="141" t="s">
        <v>994</v>
      </c>
      <c r="D1512" s="268" t="s">
        <v>684</v>
      </c>
      <c r="E1512" s="151" t="s">
        <v>20</v>
      </c>
      <c r="F1512" s="269">
        <f t="shared" ref="F1512:G1513" si="392">F1513</f>
        <v>39526</v>
      </c>
      <c r="G1512" s="158">
        <f t="shared" si="392"/>
        <v>39525.999649999998</v>
      </c>
      <c r="H1512" s="131">
        <f t="shared" si="377"/>
        <v>99.999999114506892</v>
      </c>
    </row>
    <row r="1513" spans="1:8" ht="18.75" x14ac:dyDescent="0.2">
      <c r="A1513" s="162" t="s">
        <v>24</v>
      </c>
      <c r="B1513" s="141" t="s">
        <v>1013</v>
      </c>
      <c r="C1513" s="141" t="s">
        <v>994</v>
      </c>
      <c r="D1513" s="268" t="s">
        <v>684</v>
      </c>
      <c r="E1513" s="151" t="s">
        <v>25</v>
      </c>
      <c r="F1513" s="269">
        <f t="shared" si="392"/>
        <v>39526</v>
      </c>
      <c r="G1513" s="158">
        <f t="shared" si="392"/>
        <v>39525.999649999998</v>
      </c>
      <c r="H1513" s="131">
        <f t="shared" si="377"/>
        <v>99.999999114506892</v>
      </c>
    </row>
    <row r="1514" spans="1:8" s="82" customFormat="1" ht="18.75" hidden="1" x14ac:dyDescent="0.2">
      <c r="A1514" s="27" t="s">
        <v>72</v>
      </c>
      <c r="B1514" s="2" t="s">
        <v>1013</v>
      </c>
      <c r="C1514" s="2" t="s">
        <v>994</v>
      </c>
      <c r="D1514" s="22" t="s">
        <v>684</v>
      </c>
      <c r="E1514" s="5" t="s">
        <v>73</v>
      </c>
      <c r="F1514" s="6">
        <v>39526</v>
      </c>
      <c r="G1514" s="14">
        <v>39525.999649999998</v>
      </c>
      <c r="H1514" s="97">
        <f t="shared" si="377"/>
        <v>99.999999114506892</v>
      </c>
    </row>
    <row r="1515" spans="1:8" ht="63" x14ac:dyDescent="0.2">
      <c r="A1515" s="155" t="s">
        <v>491</v>
      </c>
      <c r="B1515" s="148" t="s">
        <v>1013</v>
      </c>
      <c r="C1515" s="148" t="s">
        <v>994</v>
      </c>
      <c r="D1515" s="142" t="s">
        <v>685</v>
      </c>
      <c r="E1515" s="148"/>
      <c r="F1515" s="156">
        <f>F1516</f>
        <v>8000</v>
      </c>
      <c r="G1515" s="156">
        <f>G1516</f>
        <v>7492.1844799999999</v>
      </c>
      <c r="H1515" s="131">
        <f t="shared" si="377"/>
        <v>93.652305999999996</v>
      </c>
    </row>
    <row r="1516" spans="1:8" ht="31.5" x14ac:dyDescent="0.25">
      <c r="A1516" s="181" t="s">
        <v>432</v>
      </c>
      <c r="B1516" s="141" t="s">
        <v>1013</v>
      </c>
      <c r="C1516" s="141" t="s">
        <v>994</v>
      </c>
      <c r="D1516" s="146" t="s">
        <v>685</v>
      </c>
      <c r="E1516" s="143" t="s">
        <v>15</v>
      </c>
      <c r="F1516" s="293">
        <f t="shared" ref="F1516:G1517" si="393">F1517</f>
        <v>8000</v>
      </c>
      <c r="G1516" s="158">
        <f t="shared" si="393"/>
        <v>7492.1844799999999</v>
      </c>
      <c r="H1516" s="131">
        <f t="shared" si="377"/>
        <v>93.652305999999996</v>
      </c>
    </row>
    <row r="1517" spans="1:8" ht="31.5" x14ac:dyDescent="0.25">
      <c r="A1517" s="181" t="s">
        <v>17</v>
      </c>
      <c r="B1517" s="141" t="s">
        <v>1013</v>
      </c>
      <c r="C1517" s="141" t="s">
        <v>994</v>
      </c>
      <c r="D1517" s="146" t="s">
        <v>685</v>
      </c>
      <c r="E1517" s="143" t="s">
        <v>16</v>
      </c>
      <c r="F1517" s="293">
        <f t="shared" si="393"/>
        <v>8000</v>
      </c>
      <c r="G1517" s="158">
        <f t="shared" si="393"/>
        <v>7492.1844799999999</v>
      </c>
      <c r="H1517" s="131">
        <f t="shared" si="377"/>
        <v>93.652305999999996</v>
      </c>
    </row>
    <row r="1518" spans="1:8" s="82" customFormat="1" ht="31.5" hidden="1" x14ac:dyDescent="0.25">
      <c r="A1518" s="20" t="s">
        <v>502</v>
      </c>
      <c r="B1518" s="2" t="s">
        <v>1013</v>
      </c>
      <c r="C1518" s="2" t="s">
        <v>994</v>
      </c>
      <c r="D1518" s="4" t="s">
        <v>685</v>
      </c>
      <c r="E1518" s="33" t="s">
        <v>451</v>
      </c>
      <c r="F1518" s="29">
        <f>0+41779+45221-53000-26000</f>
        <v>8000</v>
      </c>
      <c r="G1518" s="14">
        <v>7492.1844799999999</v>
      </c>
      <c r="H1518" s="97">
        <f t="shared" si="377"/>
        <v>93.652305999999996</v>
      </c>
    </row>
    <row r="1519" spans="1:8" ht="18.75" x14ac:dyDescent="0.2">
      <c r="A1519" s="155" t="s">
        <v>495</v>
      </c>
      <c r="B1519" s="148" t="s">
        <v>1013</v>
      </c>
      <c r="C1519" s="148" t="s">
        <v>994</v>
      </c>
      <c r="D1519" s="142" t="s">
        <v>686</v>
      </c>
      <c r="E1519" s="148"/>
      <c r="F1519" s="156">
        <f t="shared" ref="F1519:G1521" si="394">F1520</f>
        <v>46953</v>
      </c>
      <c r="G1519" s="156">
        <f t="shared" si="394"/>
        <v>46953</v>
      </c>
      <c r="H1519" s="131">
        <f t="shared" ref="H1519:H1570" si="395">G1519/F1519*100</f>
        <v>100</v>
      </c>
    </row>
    <row r="1520" spans="1:8" ht="31.5" x14ac:dyDescent="0.2">
      <c r="A1520" s="145" t="s">
        <v>657</v>
      </c>
      <c r="B1520" s="141" t="s">
        <v>1013</v>
      </c>
      <c r="C1520" s="141" t="s">
        <v>994</v>
      </c>
      <c r="D1520" s="146" t="s">
        <v>686</v>
      </c>
      <c r="E1520" s="151" t="s">
        <v>34</v>
      </c>
      <c r="F1520" s="269">
        <f t="shared" si="394"/>
        <v>46953</v>
      </c>
      <c r="G1520" s="158">
        <f t="shared" si="394"/>
        <v>46953</v>
      </c>
      <c r="H1520" s="131">
        <f t="shared" si="395"/>
        <v>100</v>
      </c>
    </row>
    <row r="1521" spans="1:8" ht="18.75" x14ac:dyDescent="0.2">
      <c r="A1521" s="145" t="s">
        <v>33</v>
      </c>
      <c r="B1521" s="141" t="s">
        <v>1013</v>
      </c>
      <c r="C1521" s="141" t="s">
        <v>994</v>
      </c>
      <c r="D1521" s="146" t="s">
        <v>686</v>
      </c>
      <c r="E1521" s="151" t="s">
        <v>129</v>
      </c>
      <c r="F1521" s="269">
        <f t="shared" si="394"/>
        <v>46953</v>
      </c>
      <c r="G1521" s="158">
        <f t="shared" si="394"/>
        <v>46953</v>
      </c>
      <c r="H1521" s="131">
        <f t="shared" si="395"/>
        <v>100</v>
      </c>
    </row>
    <row r="1522" spans="1:8" s="82" customFormat="1" ht="31.5" hidden="1" x14ac:dyDescent="0.2">
      <c r="A1522" s="3" t="s">
        <v>84</v>
      </c>
      <c r="B1522" s="2" t="s">
        <v>1013</v>
      </c>
      <c r="C1522" s="2" t="s">
        <v>994</v>
      </c>
      <c r="D1522" s="4" t="s">
        <v>686</v>
      </c>
      <c r="E1522" s="5" t="s">
        <v>494</v>
      </c>
      <c r="F1522" s="6">
        <f>16953+30000</f>
        <v>46953</v>
      </c>
      <c r="G1522" s="30">
        <v>46953</v>
      </c>
      <c r="H1522" s="97">
        <f t="shared" si="395"/>
        <v>100</v>
      </c>
    </row>
    <row r="1523" spans="1:8" ht="31.5" x14ac:dyDescent="0.25">
      <c r="A1523" s="167" t="s">
        <v>944</v>
      </c>
      <c r="B1523" s="148" t="s">
        <v>1013</v>
      </c>
      <c r="C1523" s="148" t="s">
        <v>994</v>
      </c>
      <c r="D1523" s="142" t="str">
        <f>D1524</f>
        <v>01 3 02 21500</v>
      </c>
      <c r="E1523" s="148"/>
      <c r="F1523" s="183">
        <f t="shared" ref="F1523:G1525" si="396">F1524</f>
        <v>2658</v>
      </c>
      <c r="G1523" s="166">
        <f t="shared" si="396"/>
        <v>2657.1772299999998</v>
      </c>
      <c r="H1523" s="131">
        <f t="shared" si="395"/>
        <v>99.969045522949571</v>
      </c>
    </row>
    <row r="1524" spans="1:8" ht="18.75" x14ac:dyDescent="0.2">
      <c r="A1524" s="145" t="s">
        <v>871</v>
      </c>
      <c r="B1524" s="141" t="s">
        <v>1013</v>
      </c>
      <c r="C1524" s="141" t="s">
        <v>994</v>
      </c>
      <c r="D1524" s="268" t="str">
        <f>D1525</f>
        <v>01 3 02 21500</v>
      </c>
      <c r="E1524" s="151" t="s">
        <v>15</v>
      </c>
      <c r="F1524" s="253">
        <f t="shared" si="396"/>
        <v>2658</v>
      </c>
      <c r="G1524" s="166">
        <f t="shared" si="396"/>
        <v>2657.1772299999998</v>
      </c>
      <c r="H1524" s="131">
        <f t="shared" si="395"/>
        <v>99.969045522949571</v>
      </c>
    </row>
    <row r="1525" spans="1:8" ht="31.5" x14ac:dyDescent="0.25">
      <c r="A1525" s="258" t="s">
        <v>17</v>
      </c>
      <c r="B1525" s="141" t="s">
        <v>1013</v>
      </c>
      <c r="C1525" s="141" t="s">
        <v>994</v>
      </c>
      <c r="D1525" s="268" t="str">
        <f>D1526</f>
        <v>01 3 02 21500</v>
      </c>
      <c r="E1525" s="151" t="s">
        <v>16</v>
      </c>
      <c r="F1525" s="253">
        <f t="shared" si="396"/>
        <v>2658</v>
      </c>
      <c r="G1525" s="166">
        <f t="shared" si="396"/>
        <v>2657.1772299999998</v>
      </c>
      <c r="H1525" s="131">
        <f t="shared" si="395"/>
        <v>99.969045522949571</v>
      </c>
    </row>
    <row r="1526" spans="1:8" s="82" customFormat="1" ht="18.75" hidden="1" x14ac:dyDescent="0.25">
      <c r="A1526" s="20" t="s">
        <v>548</v>
      </c>
      <c r="B1526" s="2" t="s">
        <v>1013</v>
      </c>
      <c r="C1526" s="2" t="s">
        <v>994</v>
      </c>
      <c r="D1526" s="22" t="s">
        <v>943</v>
      </c>
      <c r="E1526" s="2" t="s">
        <v>67</v>
      </c>
      <c r="F1526" s="63">
        <f>3796-1138</f>
        <v>2658</v>
      </c>
      <c r="G1526" s="36">
        <v>2657.1772299999998</v>
      </c>
      <c r="H1526" s="97">
        <f t="shared" si="395"/>
        <v>99.969045522949571</v>
      </c>
    </row>
    <row r="1527" spans="1:8" ht="31.5" x14ac:dyDescent="0.2">
      <c r="A1527" s="155" t="s">
        <v>103</v>
      </c>
      <c r="B1527" s="148" t="s">
        <v>1013</v>
      </c>
      <c r="C1527" s="148" t="s">
        <v>994</v>
      </c>
      <c r="D1527" s="142" t="s">
        <v>687</v>
      </c>
      <c r="E1527" s="148"/>
      <c r="F1527" s="267">
        <f t="shared" ref="F1527:G1529" si="397">F1528</f>
        <v>40376</v>
      </c>
      <c r="G1527" s="267">
        <f t="shared" si="397"/>
        <v>40376</v>
      </c>
      <c r="H1527" s="131">
        <f t="shared" si="395"/>
        <v>100</v>
      </c>
    </row>
    <row r="1528" spans="1:8" ht="31.5" x14ac:dyDescent="0.2">
      <c r="A1528" s="162" t="s">
        <v>18</v>
      </c>
      <c r="B1528" s="141" t="s">
        <v>1013</v>
      </c>
      <c r="C1528" s="141" t="s">
        <v>994</v>
      </c>
      <c r="D1528" s="141" t="s">
        <v>687</v>
      </c>
      <c r="E1528" s="151" t="s">
        <v>20</v>
      </c>
      <c r="F1528" s="158">
        <f t="shared" si="397"/>
        <v>40376</v>
      </c>
      <c r="G1528" s="269">
        <f t="shared" si="397"/>
        <v>40376</v>
      </c>
      <c r="H1528" s="131">
        <f t="shared" si="395"/>
        <v>100</v>
      </c>
    </row>
    <row r="1529" spans="1:8" ht="18.75" x14ac:dyDescent="0.2">
      <c r="A1529" s="162" t="s">
        <v>24</v>
      </c>
      <c r="B1529" s="141" t="s">
        <v>1013</v>
      </c>
      <c r="C1529" s="141" t="s">
        <v>994</v>
      </c>
      <c r="D1529" s="141" t="s">
        <v>687</v>
      </c>
      <c r="E1529" s="151" t="s">
        <v>25</v>
      </c>
      <c r="F1529" s="158">
        <f t="shared" si="397"/>
        <v>40376</v>
      </c>
      <c r="G1529" s="269">
        <f t="shared" si="397"/>
        <v>40376</v>
      </c>
      <c r="H1529" s="131">
        <f t="shared" si="395"/>
        <v>100</v>
      </c>
    </row>
    <row r="1530" spans="1:8" s="82" customFormat="1" ht="47.25" hidden="1" x14ac:dyDescent="0.2">
      <c r="A1530" s="28" t="s">
        <v>88</v>
      </c>
      <c r="B1530" s="2" t="s">
        <v>1013</v>
      </c>
      <c r="C1530" s="2" t="s">
        <v>994</v>
      </c>
      <c r="D1530" s="2" t="s">
        <v>687</v>
      </c>
      <c r="E1530" s="2" t="s">
        <v>89</v>
      </c>
      <c r="F1530" s="14">
        <f>53516-3000-10140</f>
        <v>40376</v>
      </c>
      <c r="G1530" s="6">
        <v>40376</v>
      </c>
      <c r="H1530" s="97">
        <f t="shared" si="395"/>
        <v>100</v>
      </c>
    </row>
    <row r="1531" spans="1:8" ht="31.5" x14ac:dyDescent="0.2">
      <c r="A1531" s="155" t="s">
        <v>238</v>
      </c>
      <c r="B1531" s="148" t="s">
        <v>1013</v>
      </c>
      <c r="C1531" s="148" t="s">
        <v>994</v>
      </c>
      <c r="D1531" s="142" t="s">
        <v>688</v>
      </c>
      <c r="E1531" s="148"/>
      <c r="F1531" s="267">
        <f>F1532+F1536</f>
        <v>251434</v>
      </c>
      <c r="G1531" s="267">
        <f t="shared" ref="G1531" si="398">G1532+G1536</f>
        <v>251295.12857999999</v>
      </c>
      <c r="H1531" s="131">
        <f t="shared" si="395"/>
        <v>99.944768241367512</v>
      </c>
    </row>
    <row r="1532" spans="1:8" ht="31.5" x14ac:dyDescent="0.2">
      <c r="A1532" s="155" t="s">
        <v>240</v>
      </c>
      <c r="B1532" s="148" t="s">
        <v>1013</v>
      </c>
      <c r="C1532" s="148" t="s">
        <v>994</v>
      </c>
      <c r="D1532" s="142" t="s">
        <v>689</v>
      </c>
      <c r="E1532" s="148"/>
      <c r="F1532" s="156">
        <f t="shared" ref="F1532:G1534" si="399">F1533</f>
        <v>16466</v>
      </c>
      <c r="G1532" s="267">
        <f t="shared" si="399"/>
        <v>16327.128580000001</v>
      </c>
      <c r="H1532" s="131">
        <f t="shared" si="395"/>
        <v>99.156617150491925</v>
      </c>
    </row>
    <row r="1533" spans="1:8" ht="31.5" x14ac:dyDescent="0.2">
      <c r="A1533" s="162" t="s">
        <v>18</v>
      </c>
      <c r="B1533" s="151" t="s">
        <v>1013</v>
      </c>
      <c r="C1533" s="151" t="s">
        <v>994</v>
      </c>
      <c r="D1533" s="268" t="s">
        <v>689</v>
      </c>
      <c r="E1533" s="151" t="s">
        <v>20</v>
      </c>
      <c r="F1533" s="158">
        <f t="shared" si="399"/>
        <v>16466</v>
      </c>
      <c r="G1533" s="269">
        <f t="shared" si="399"/>
        <v>16327.128580000001</v>
      </c>
      <c r="H1533" s="131">
        <f t="shared" si="395"/>
        <v>99.156617150491925</v>
      </c>
    </row>
    <row r="1534" spans="1:8" ht="18.75" x14ac:dyDescent="0.2">
      <c r="A1534" s="162" t="s">
        <v>24</v>
      </c>
      <c r="B1534" s="151" t="s">
        <v>1013</v>
      </c>
      <c r="C1534" s="151" t="s">
        <v>994</v>
      </c>
      <c r="D1534" s="268" t="s">
        <v>689</v>
      </c>
      <c r="E1534" s="151" t="s">
        <v>25</v>
      </c>
      <c r="F1534" s="158">
        <f t="shared" si="399"/>
        <v>16466</v>
      </c>
      <c r="G1534" s="269">
        <f t="shared" si="399"/>
        <v>16327.128580000001</v>
      </c>
      <c r="H1534" s="131">
        <f t="shared" si="395"/>
        <v>99.156617150491925</v>
      </c>
    </row>
    <row r="1535" spans="1:8" s="82" customFormat="1" ht="18.75" hidden="1" x14ac:dyDescent="0.2">
      <c r="A1535" s="27" t="s">
        <v>72</v>
      </c>
      <c r="B1535" s="2" t="s">
        <v>1013</v>
      </c>
      <c r="C1535" s="2" t="s">
        <v>994</v>
      </c>
      <c r="D1535" s="22" t="s">
        <v>689</v>
      </c>
      <c r="E1535" s="5" t="s">
        <v>73</v>
      </c>
      <c r="F1535" s="10">
        <f>600+721+100+17738-2661-32</f>
        <v>16466</v>
      </c>
      <c r="G1535" s="84">
        <v>16327.128580000001</v>
      </c>
      <c r="H1535" s="97">
        <f t="shared" si="395"/>
        <v>99.156617150491925</v>
      </c>
    </row>
    <row r="1536" spans="1:8" ht="31.5" x14ac:dyDescent="0.2">
      <c r="A1536" s="155" t="s">
        <v>242</v>
      </c>
      <c r="B1536" s="148" t="s">
        <v>1013</v>
      </c>
      <c r="C1536" s="148" t="s">
        <v>994</v>
      </c>
      <c r="D1536" s="148" t="s">
        <v>690</v>
      </c>
      <c r="E1536" s="148"/>
      <c r="F1536" s="156">
        <f t="shared" ref="F1536:G1538" si="400">F1537</f>
        <v>234968</v>
      </c>
      <c r="G1536" s="156">
        <f t="shared" si="400"/>
        <v>234968</v>
      </c>
      <c r="H1536" s="131">
        <f t="shared" si="395"/>
        <v>100</v>
      </c>
    </row>
    <row r="1537" spans="1:8" ht="31.5" x14ac:dyDescent="0.2">
      <c r="A1537" s="162" t="s">
        <v>18</v>
      </c>
      <c r="B1537" s="141" t="s">
        <v>1013</v>
      </c>
      <c r="C1537" s="141" t="s">
        <v>994</v>
      </c>
      <c r="D1537" s="141" t="s">
        <v>690</v>
      </c>
      <c r="E1537" s="151" t="s">
        <v>20</v>
      </c>
      <c r="F1537" s="158">
        <f t="shared" si="400"/>
        <v>234968</v>
      </c>
      <c r="G1537" s="158">
        <f t="shared" si="400"/>
        <v>234968</v>
      </c>
      <c r="H1537" s="131">
        <f t="shared" si="395"/>
        <v>100</v>
      </c>
    </row>
    <row r="1538" spans="1:8" ht="18.75" x14ac:dyDescent="0.2">
      <c r="A1538" s="162" t="s">
        <v>24</v>
      </c>
      <c r="B1538" s="141" t="s">
        <v>1013</v>
      </c>
      <c r="C1538" s="141" t="s">
        <v>994</v>
      </c>
      <c r="D1538" s="141" t="s">
        <v>690</v>
      </c>
      <c r="E1538" s="151" t="s">
        <v>25</v>
      </c>
      <c r="F1538" s="158">
        <f t="shared" si="400"/>
        <v>234968</v>
      </c>
      <c r="G1538" s="158">
        <f t="shared" si="400"/>
        <v>234968</v>
      </c>
      <c r="H1538" s="131">
        <f t="shared" si="395"/>
        <v>100</v>
      </c>
    </row>
    <row r="1539" spans="1:8" s="82" customFormat="1" ht="47.25" hidden="1" x14ac:dyDescent="0.2">
      <c r="A1539" s="28" t="s">
        <v>88</v>
      </c>
      <c r="B1539" s="2" t="s">
        <v>1013</v>
      </c>
      <c r="C1539" s="2" t="s">
        <v>994</v>
      </c>
      <c r="D1539" s="2" t="s">
        <v>690</v>
      </c>
      <c r="E1539" s="2" t="s">
        <v>89</v>
      </c>
      <c r="F1539" s="14">
        <f>235986-1018</f>
        <v>234968</v>
      </c>
      <c r="G1539" s="14">
        <v>234968</v>
      </c>
      <c r="H1539" s="97">
        <f t="shared" si="395"/>
        <v>100</v>
      </c>
    </row>
    <row r="1540" spans="1:8" ht="18.75" x14ac:dyDescent="0.2">
      <c r="A1540" s="154" t="s">
        <v>885</v>
      </c>
      <c r="B1540" s="133" t="s">
        <v>1013</v>
      </c>
      <c r="C1540" s="133" t="s">
        <v>994</v>
      </c>
      <c r="D1540" s="137" t="s">
        <v>886</v>
      </c>
      <c r="E1540" s="133"/>
      <c r="F1540" s="164">
        <f>F1541</f>
        <v>5178</v>
      </c>
      <c r="G1540" s="164">
        <f>G1541</f>
        <v>5177.9935299999997</v>
      </c>
      <c r="H1540" s="131">
        <f t="shared" si="395"/>
        <v>99.999875048281183</v>
      </c>
    </row>
    <row r="1541" spans="1:8" ht="18.75" x14ac:dyDescent="0.2">
      <c r="A1541" s="155" t="s">
        <v>1123</v>
      </c>
      <c r="B1541" s="148" t="s">
        <v>1013</v>
      </c>
      <c r="C1541" s="148" t="s">
        <v>994</v>
      </c>
      <c r="D1541" s="142" t="str">
        <f>D1542</f>
        <v>01 3 A1 55190</v>
      </c>
      <c r="E1541" s="190"/>
      <c r="F1541" s="168">
        <f>F1542</f>
        <v>5178</v>
      </c>
      <c r="G1541" s="168">
        <f t="shared" ref="G1541:G1543" si="401">G1542</f>
        <v>5177.9935299999997</v>
      </c>
      <c r="H1541" s="131">
        <f t="shared" si="395"/>
        <v>99.999875048281183</v>
      </c>
    </row>
    <row r="1542" spans="1:8" ht="31.5" x14ac:dyDescent="0.2">
      <c r="A1542" s="157" t="s">
        <v>18</v>
      </c>
      <c r="B1542" s="151" t="s">
        <v>1013</v>
      </c>
      <c r="C1542" s="151" t="s">
        <v>994</v>
      </c>
      <c r="D1542" s="146" t="str">
        <f>D1543</f>
        <v>01 3 A1 55190</v>
      </c>
      <c r="E1542" s="141" t="s">
        <v>20</v>
      </c>
      <c r="F1542" s="166">
        <f>F1543</f>
        <v>5178</v>
      </c>
      <c r="G1542" s="166">
        <f t="shared" si="401"/>
        <v>5177.9935299999997</v>
      </c>
      <c r="H1542" s="131">
        <f t="shared" si="395"/>
        <v>99.999875048281183</v>
      </c>
    </row>
    <row r="1543" spans="1:8" ht="18.75" x14ac:dyDescent="0.2">
      <c r="A1543" s="157" t="s">
        <v>24</v>
      </c>
      <c r="B1543" s="151" t="s">
        <v>1013</v>
      </c>
      <c r="C1543" s="151" t="s">
        <v>994</v>
      </c>
      <c r="D1543" s="146" t="str">
        <f>D1544</f>
        <v>01 3 A1 55190</v>
      </c>
      <c r="E1543" s="141" t="s">
        <v>25</v>
      </c>
      <c r="F1543" s="166">
        <f>F1544</f>
        <v>5178</v>
      </c>
      <c r="G1543" s="166">
        <f t="shared" si="401"/>
        <v>5177.9935299999997</v>
      </c>
      <c r="H1543" s="131">
        <f t="shared" si="395"/>
        <v>99.999875048281183</v>
      </c>
    </row>
    <row r="1544" spans="1:8" s="82" customFormat="1" ht="18.75" hidden="1" x14ac:dyDescent="0.2">
      <c r="A1544" s="28" t="s">
        <v>72</v>
      </c>
      <c r="B1544" s="2" t="s">
        <v>1013</v>
      </c>
      <c r="C1544" s="2" t="s">
        <v>994</v>
      </c>
      <c r="D1544" s="4" t="s">
        <v>887</v>
      </c>
      <c r="E1544" s="2" t="s">
        <v>73</v>
      </c>
      <c r="F1544" s="36">
        <v>5178</v>
      </c>
      <c r="G1544" s="36">
        <v>5177.9935299999997</v>
      </c>
      <c r="H1544" s="97">
        <f t="shared" si="395"/>
        <v>99.999875048281183</v>
      </c>
    </row>
    <row r="1545" spans="1:8" ht="18.75" x14ac:dyDescent="0.25">
      <c r="A1545" s="277" t="s">
        <v>953</v>
      </c>
      <c r="B1545" s="133" t="s">
        <v>1013</v>
      </c>
      <c r="C1545" s="133" t="s">
        <v>994</v>
      </c>
      <c r="D1545" s="278" t="s">
        <v>955</v>
      </c>
      <c r="E1545" s="279"/>
      <c r="F1545" s="280">
        <f>F1546</f>
        <v>8410</v>
      </c>
      <c r="G1545" s="280">
        <f t="shared" ref="G1545:G1546" si="402">G1546</f>
        <v>8409.9599999999991</v>
      </c>
      <c r="H1545" s="131">
        <f t="shared" si="395"/>
        <v>99.99952437574315</v>
      </c>
    </row>
    <row r="1546" spans="1:8" ht="31.5" x14ac:dyDescent="0.25">
      <c r="A1546" s="187" t="s">
        <v>954</v>
      </c>
      <c r="B1546" s="148" t="s">
        <v>1013</v>
      </c>
      <c r="C1546" s="148" t="s">
        <v>994</v>
      </c>
      <c r="D1546" s="142" t="s">
        <v>956</v>
      </c>
      <c r="E1546" s="148"/>
      <c r="F1546" s="252">
        <f>F1547</f>
        <v>8410</v>
      </c>
      <c r="G1546" s="168">
        <f t="shared" si="402"/>
        <v>8409.9599999999991</v>
      </c>
      <c r="H1546" s="131">
        <f t="shared" si="395"/>
        <v>99.99952437574315</v>
      </c>
    </row>
    <row r="1547" spans="1:8" ht="31.5" x14ac:dyDescent="0.25">
      <c r="A1547" s="258" t="s">
        <v>18</v>
      </c>
      <c r="B1547" s="141" t="s">
        <v>1013</v>
      </c>
      <c r="C1547" s="141" t="s">
        <v>994</v>
      </c>
      <c r="D1547" s="146" t="s">
        <v>956</v>
      </c>
      <c r="E1547" s="284" t="s">
        <v>20</v>
      </c>
      <c r="F1547" s="253">
        <f>F1548</f>
        <v>8410</v>
      </c>
      <c r="G1547" s="166">
        <f>G1548</f>
        <v>8409.9599999999991</v>
      </c>
      <c r="H1547" s="131">
        <f t="shared" si="395"/>
        <v>99.99952437574315</v>
      </c>
    </row>
    <row r="1548" spans="1:8" ht="18.75" x14ac:dyDescent="0.25">
      <c r="A1548" s="258" t="s">
        <v>24</v>
      </c>
      <c r="B1548" s="141" t="s">
        <v>1013</v>
      </c>
      <c r="C1548" s="141" t="s">
        <v>994</v>
      </c>
      <c r="D1548" s="146" t="s">
        <v>956</v>
      </c>
      <c r="E1548" s="151" t="s">
        <v>25</v>
      </c>
      <c r="F1548" s="237">
        <f t="shared" ref="F1548:G1548" si="403">F1549</f>
        <v>8410</v>
      </c>
      <c r="G1548" s="166">
        <f t="shared" si="403"/>
        <v>8409.9599999999991</v>
      </c>
      <c r="H1548" s="131">
        <f t="shared" si="395"/>
        <v>99.99952437574315</v>
      </c>
    </row>
    <row r="1549" spans="1:8" s="82" customFormat="1" ht="47.25" hidden="1" x14ac:dyDescent="0.25">
      <c r="A1549" s="20" t="s">
        <v>88</v>
      </c>
      <c r="B1549" s="12" t="s">
        <v>1013</v>
      </c>
      <c r="C1549" s="12" t="s">
        <v>994</v>
      </c>
      <c r="D1549" s="4" t="s">
        <v>956</v>
      </c>
      <c r="E1549" s="2" t="s">
        <v>89</v>
      </c>
      <c r="F1549" s="14">
        <f>0+22816-14406</f>
        <v>8410</v>
      </c>
      <c r="G1549" s="36">
        <v>8409.9599999999991</v>
      </c>
      <c r="H1549" s="97">
        <f t="shared" si="395"/>
        <v>99.99952437574315</v>
      </c>
    </row>
    <row r="1550" spans="1:8" ht="31.5" x14ac:dyDescent="0.2">
      <c r="A1550" s="132" t="s">
        <v>1048</v>
      </c>
      <c r="B1550" s="133" t="s">
        <v>1013</v>
      </c>
      <c r="C1550" s="133" t="s">
        <v>994</v>
      </c>
      <c r="D1550" s="133" t="s">
        <v>562</v>
      </c>
      <c r="E1550" s="133"/>
      <c r="F1550" s="134">
        <f t="shared" ref="F1550:G1551" si="404">F1551</f>
        <v>320</v>
      </c>
      <c r="G1550" s="134">
        <f t="shared" si="404"/>
        <v>308.31240000000003</v>
      </c>
      <c r="H1550" s="131">
        <f t="shared" si="395"/>
        <v>96.347625000000008</v>
      </c>
    </row>
    <row r="1551" spans="1:8" ht="31.5" x14ac:dyDescent="0.2">
      <c r="A1551" s="135" t="s">
        <v>608</v>
      </c>
      <c r="B1551" s="136" t="s">
        <v>1013</v>
      </c>
      <c r="C1551" s="136" t="s">
        <v>994</v>
      </c>
      <c r="D1551" s="137" t="s">
        <v>577</v>
      </c>
      <c r="E1551" s="136"/>
      <c r="F1551" s="138">
        <f t="shared" si="404"/>
        <v>320</v>
      </c>
      <c r="G1551" s="138">
        <f t="shared" si="404"/>
        <v>308.31240000000003</v>
      </c>
      <c r="H1551" s="131">
        <f t="shared" si="395"/>
        <v>96.347625000000008</v>
      </c>
    </row>
    <row r="1552" spans="1:8" ht="31.5" x14ac:dyDescent="0.2">
      <c r="A1552" s="248" t="s">
        <v>609</v>
      </c>
      <c r="B1552" s="125" t="s">
        <v>1013</v>
      </c>
      <c r="C1552" s="125" t="s">
        <v>994</v>
      </c>
      <c r="D1552" s="294" t="s">
        <v>578</v>
      </c>
      <c r="E1552" s="151"/>
      <c r="F1552" s="201">
        <f>F1553+F1557</f>
        <v>320</v>
      </c>
      <c r="G1552" s="134">
        <f t="shared" ref="G1552" si="405">G1553+G1557</f>
        <v>308.31240000000003</v>
      </c>
      <c r="H1552" s="131">
        <f t="shared" si="395"/>
        <v>96.347625000000008</v>
      </c>
    </row>
    <row r="1553" spans="1:8" ht="31.5" x14ac:dyDescent="0.2">
      <c r="A1553" s="250" t="s">
        <v>580</v>
      </c>
      <c r="B1553" s="251" t="s">
        <v>1013</v>
      </c>
      <c r="C1553" s="251" t="s">
        <v>994</v>
      </c>
      <c r="D1553" s="295" t="s">
        <v>579</v>
      </c>
      <c r="E1553" s="251"/>
      <c r="F1553" s="296">
        <f>F1554</f>
        <v>296</v>
      </c>
      <c r="G1553" s="144">
        <f>G1554</f>
        <v>284.8424</v>
      </c>
      <c r="H1553" s="131">
        <f t="shared" si="395"/>
        <v>96.230540540540545</v>
      </c>
    </row>
    <row r="1554" spans="1:8" ht="31.5" x14ac:dyDescent="0.2">
      <c r="A1554" s="162" t="s">
        <v>18</v>
      </c>
      <c r="B1554" s="151" t="s">
        <v>1013</v>
      </c>
      <c r="C1554" s="151" t="s">
        <v>994</v>
      </c>
      <c r="D1554" s="268" t="s">
        <v>579</v>
      </c>
      <c r="E1554" s="151" t="s">
        <v>20</v>
      </c>
      <c r="F1554" s="152">
        <f t="shared" ref="F1554:G1554" si="406">F1555</f>
        <v>296</v>
      </c>
      <c r="G1554" s="147">
        <f t="shared" si="406"/>
        <v>284.8424</v>
      </c>
      <c r="H1554" s="131">
        <f t="shared" si="395"/>
        <v>96.230540540540545</v>
      </c>
    </row>
    <row r="1555" spans="1:8" ht="18.75" x14ac:dyDescent="0.2">
      <c r="A1555" s="162" t="s">
        <v>24</v>
      </c>
      <c r="B1555" s="151" t="s">
        <v>1013</v>
      </c>
      <c r="C1555" s="151" t="s">
        <v>994</v>
      </c>
      <c r="D1555" s="268" t="s">
        <v>579</v>
      </c>
      <c r="E1555" s="151" t="s">
        <v>25</v>
      </c>
      <c r="F1555" s="152">
        <f>F1556</f>
        <v>296</v>
      </c>
      <c r="G1555" s="147">
        <f>G1556</f>
        <v>284.8424</v>
      </c>
      <c r="H1555" s="131">
        <f t="shared" si="395"/>
        <v>96.230540540540545</v>
      </c>
    </row>
    <row r="1556" spans="1:8" s="82" customFormat="1" ht="18.75" hidden="1" x14ac:dyDescent="0.2">
      <c r="A1556" s="27" t="s">
        <v>72</v>
      </c>
      <c r="B1556" s="5" t="s">
        <v>1013</v>
      </c>
      <c r="C1556" s="5" t="s">
        <v>994</v>
      </c>
      <c r="D1556" s="22" t="s">
        <v>579</v>
      </c>
      <c r="E1556" s="5" t="s">
        <v>73</v>
      </c>
      <c r="F1556" s="84">
        <v>296</v>
      </c>
      <c r="G1556" s="10">
        <v>284.8424</v>
      </c>
      <c r="H1556" s="97">
        <f t="shared" si="395"/>
        <v>96.230540540540545</v>
      </c>
    </row>
    <row r="1557" spans="1:8" ht="18.75" x14ac:dyDescent="0.2">
      <c r="A1557" s="250" t="s">
        <v>709</v>
      </c>
      <c r="B1557" s="251" t="s">
        <v>1013</v>
      </c>
      <c r="C1557" s="251" t="s">
        <v>994</v>
      </c>
      <c r="D1557" s="251" t="s">
        <v>710</v>
      </c>
      <c r="E1557" s="251"/>
      <c r="F1557" s="152">
        <f>F1558</f>
        <v>24</v>
      </c>
      <c r="G1557" s="147">
        <f>G1558</f>
        <v>23.47</v>
      </c>
      <c r="H1557" s="131">
        <f t="shared" si="395"/>
        <v>97.791666666666671</v>
      </c>
    </row>
    <row r="1558" spans="1:8" ht="31.5" x14ac:dyDescent="0.2">
      <c r="A1558" s="162" t="s">
        <v>18</v>
      </c>
      <c r="B1558" s="151" t="s">
        <v>1013</v>
      </c>
      <c r="C1558" s="151" t="s">
        <v>994</v>
      </c>
      <c r="D1558" s="151" t="s">
        <v>710</v>
      </c>
      <c r="E1558" s="151" t="s">
        <v>20</v>
      </c>
      <c r="F1558" s="152">
        <f t="shared" ref="F1558:G1559" si="407">F1559</f>
        <v>24</v>
      </c>
      <c r="G1558" s="147">
        <f t="shared" si="407"/>
        <v>23.47</v>
      </c>
      <c r="H1558" s="131">
        <f t="shared" si="395"/>
        <v>97.791666666666671</v>
      </c>
    </row>
    <row r="1559" spans="1:8" ht="18.75" x14ac:dyDescent="0.2">
      <c r="A1559" s="162" t="s">
        <v>24</v>
      </c>
      <c r="B1559" s="151" t="s">
        <v>1013</v>
      </c>
      <c r="C1559" s="151" t="s">
        <v>994</v>
      </c>
      <c r="D1559" s="151" t="s">
        <v>710</v>
      </c>
      <c r="E1559" s="151" t="s">
        <v>25</v>
      </c>
      <c r="F1559" s="152">
        <f t="shared" si="407"/>
        <v>24</v>
      </c>
      <c r="G1559" s="147">
        <f t="shared" si="407"/>
        <v>23.47</v>
      </c>
      <c r="H1559" s="131">
        <f t="shared" si="395"/>
        <v>97.791666666666671</v>
      </c>
    </row>
    <row r="1560" spans="1:8" s="82" customFormat="1" ht="18.75" hidden="1" x14ac:dyDescent="0.2">
      <c r="A1560" s="27" t="s">
        <v>72</v>
      </c>
      <c r="B1560" s="5" t="s">
        <v>1013</v>
      </c>
      <c r="C1560" s="5" t="s">
        <v>994</v>
      </c>
      <c r="D1560" s="5" t="s">
        <v>710</v>
      </c>
      <c r="E1560" s="5" t="s">
        <v>73</v>
      </c>
      <c r="F1560" s="84">
        <f>280-125-131</f>
        <v>24</v>
      </c>
      <c r="G1560" s="10">
        <v>23.47</v>
      </c>
      <c r="H1560" s="97">
        <f t="shared" si="395"/>
        <v>97.791666666666671</v>
      </c>
    </row>
    <row r="1561" spans="1:8" ht="31.5" x14ac:dyDescent="0.2">
      <c r="A1561" s="132" t="s">
        <v>889</v>
      </c>
      <c r="B1561" s="133" t="s">
        <v>1013</v>
      </c>
      <c r="C1561" s="133" t="s">
        <v>994</v>
      </c>
      <c r="D1561" s="133" t="s">
        <v>178</v>
      </c>
      <c r="E1561" s="133"/>
      <c r="F1561" s="222">
        <f t="shared" ref="F1561:G1566" si="408">F1562</f>
        <v>249</v>
      </c>
      <c r="G1561" s="222">
        <f t="shared" si="408"/>
        <v>247.39</v>
      </c>
      <c r="H1561" s="131">
        <f t="shared" si="395"/>
        <v>99.353413654618478</v>
      </c>
    </row>
    <row r="1562" spans="1:8" ht="18.75" x14ac:dyDescent="0.2">
      <c r="A1562" s="135" t="s">
        <v>329</v>
      </c>
      <c r="B1562" s="136" t="s">
        <v>1013</v>
      </c>
      <c r="C1562" s="136" t="s">
        <v>994</v>
      </c>
      <c r="D1562" s="137" t="s">
        <v>331</v>
      </c>
      <c r="E1562" s="136"/>
      <c r="F1562" s="138">
        <f t="shared" si="408"/>
        <v>249</v>
      </c>
      <c r="G1562" s="138">
        <f t="shared" si="408"/>
        <v>247.39</v>
      </c>
      <c r="H1562" s="131">
        <f t="shared" si="395"/>
        <v>99.353413654618478</v>
      </c>
    </row>
    <row r="1563" spans="1:8" ht="47.25" x14ac:dyDescent="0.2">
      <c r="A1563" s="132" t="s">
        <v>332</v>
      </c>
      <c r="B1563" s="133" t="s">
        <v>1013</v>
      </c>
      <c r="C1563" s="133" t="s">
        <v>994</v>
      </c>
      <c r="D1563" s="139" t="s">
        <v>330</v>
      </c>
      <c r="E1563" s="161"/>
      <c r="F1563" s="222">
        <f t="shared" si="408"/>
        <v>249</v>
      </c>
      <c r="G1563" s="222">
        <f t="shared" si="408"/>
        <v>247.39</v>
      </c>
      <c r="H1563" s="131">
        <f t="shared" si="395"/>
        <v>99.353413654618478</v>
      </c>
    </row>
    <row r="1564" spans="1:8" ht="63" x14ac:dyDescent="0.2">
      <c r="A1564" s="140" t="s">
        <v>435</v>
      </c>
      <c r="B1564" s="148" t="s">
        <v>1013</v>
      </c>
      <c r="C1564" s="148" t="s">
        <v>994</v>
      </c>
      <c r="D1564" s="142" t="s">
        <v>333</v>
      </c>
      <c r="E1564" s="177"/>
      <c r="F1564" s="144">
        <f t="shared" si="408"/>
        <v>249</v>
      </c>
      <c r="G1564" s="144">
        <f t="shared" si="408"/>
        <v>247.39</v>
      </c>
      <c r="H1564" s="131">
        <f t="shared" si="395"/>
        <v>99.353413654618478</v>
      </c>
    </row>
    <row r="1565" spans="1:8" ht="31.5" x14ac:dyDescent="0.2">
      <c r="A1565" s="145" t="s">
        <v>18</v>
      </c>
      <c r="B1565" s="141" t="s">
        <v>1013</v>
      </c>
      <c r="C1565" s="141" t="s">
        <v>994</v>
      </c>
      <c r="D1565" s="146" t="s">
        <v>333</v>
      </c>
      <c r="E1565" s="141" t="s">
        <v>20</v>
      </c>
      <c r="F1565" s="147">
        <f t="shared" si="408"/>
        <v>249</v>
      </c>
      <c r="G1565" s="147">
        <f t="shared" si="408"/>
        <v>247.39</v>
      </c>
      <c r="H1565" s="131">
        <f t="shared" si="395"/>
        <v>99.353413654618478</v>
      </c>
    </row>
    <row r="1566" spans="1:8" ht="18.75" x14ac:dyDescent="0.2">
      <c r="A1566" s="145" t="s">
        <v>24</v>
      </c>
      <c r="B1566" s="151" t="s">
        <v>1013</v>
      </c>
      <c r="C1566" s="141" t="s">
        <v>994</v>
      </c>
      <c r="D1566" s="146" t="s">
        <v>333</v>
      </c>
      <c r="E1566" s="141" t="s">
        <v>25</v>
      </c>
      <c r="F1566" s="147">
        <f t="shared" si="408"/>
        <v>249</v>
      </c>
      <c r="G1566" s="147">
        <f t="shared" si="408"/>
        <v>247.39</v>
      </c>
      <c r="H1566" s="131">
        <f t="shared" si="395"/>
        <v>99.353413654618478</v>
      </c>
    </row>
    <row r="1567" spans="1:8" s="82" customFormat="1" ht="18.75" hidden="1" x14ac:dyDescent="0.2">
      <c r="A1567" s="19" t="s">
        <v>72</v>
      </c>
      <c r="B1567" s="5" t="s">
        <v>1013</v>
      </c>
      <c r="C1567" s="2" t="s">
        <v>994</v>
      </c>
      <c r="D1567" s="4" t="s">
        <v>333</v>
      </c>
      <c r="E1567" s="2" t="s">
        <v>73</v>
      </c>
      <c r="F1567" s="10">
        <f>266-17</f>
        <v>249</v>
      </c>
      <c r="G1567" s="10">
        <v>247.39</v>
      </c>
      <c r="H1567" s="97">
        <f t="shared" si="395"/>
        <v>99.353413654618478</v>
      </c>
    </row>
    <row r="1568" spans="1:8" ht="18.75" x14ac:dyDescent="0.2">
      <c r="A1568" s="132" t="s">
        <v>1064</v>
      </c>
      <c r="B1568" s="133" t="s">
        <v>1013</v>
      </c>
      <c r="C1568" s="133" t="s">
        <v>1046</v>
      </c>
      <c r="D1568" s="133" t="s">
        <v>1061</v>
      </c>
      <c r="E1568" s="133"/>
      <c r="F1568" s="134">
        <f t="shared" ref="F1568:G1568" si="409">F1569</f>
        <v>650</v>
      </c>
      <c r="G1568" s="134">
        <f t="shared" si="409"/>
        <v>642.54895999999997</v>
      </c>
      <c r="H1568" s="131">
        <f t="shared" si="395"/>
        <v>98.853686153846141</v>
      </c>
    </row>
    <row r="1569" spans="1:8" ht="18.75" x14ac:dyDescent="0.2">
      <c r="A1569" s="132" t="s">
        <v>1000</v>
      </c>
      <c r="B1569" s="133" t="s">
        <v>1013</v>
      </c>
      <c r="C1569" s="133" t="s">
        <v>1046</v>
      </c>
      <c r="D1569" s="133" t="s">
        <v>214</v>
      </c>
      <c r="E1569" s="133"/>
      <c r="F1569" s="134">
        <f>F1570+F1576</f>
        <v>650</v>
      </c>
      <c r="G1569" s="134">
        <f t="shared" ref="G1569" si="410">G1570+G1576</f>
        <v>642.54895999999997</v>
      </c>
      <c r="H1569" s="131">
        <f t="shared" si="395"/>
        <v>98.853686153846141</v>
      </c>
    </row>
    <row r="1570" spans="1:8" ht="18.75" x14ac:dyDescent="0.2">
      <c r="A1570" s="135" t="s">
        <v>6</v>
      </c>
      <c r="B1570" s="136" t="s">
        <v>1013</v>
      </c>
      <c r="C1570" s="136" t="s">
        <v>1046</v>
      </c>
      <c r="D1570" s="137" t="s">
        <v>215</v>
      </c>
      <c r="E1570" s="136"/>
      <c r="F1570" s="138">
        <f>F1571</f>
        <v>250</v>
      </c>
      <c r="G1570" s="138">
        <f t="shared" ref="F1570:G1574" si="411">G1571</f>
        <v>246.6</v>
      </c>
      <c r="H1570" s="131">
        <f t="shared" si="395"/>
        <v>98.64</v>
      </c>
    </row>
    <row r="1571" spans="1:8" ht="47.25" x14ac:dyDescent="0.2">
      <c r="A1571" s="132" t="s">
        <v>661</v>
      </c>
      <c r="B1571" s="297" t="s">
        <v>1013</v>
      </c>
      <c r="C1571" s="297" t="s">
        <v>1046</v>
      </c>
      <c r="D1571" s="139" t="str">
        <f>D1572</f>
        <v>01 1 04 21110</v>
      </c>
      <c r="E1571" s="161"/>
      <c r="F1571" s="134">
        <f>F1572</f>
        <v>250</v>
      </c>
      <c r="G1571" s="134">
        <f t="shared" si="411"/>
        <v>246.6</v>
      </c>
      <c r="H1571" s="131">
        <f t="shared" ref="H1571:H1634" si="412">G1571/F1571*100</f>
        <v>98.64</v>
      </c>
    </row>
    <row r="1572" spans="1:8" ht="18.75" x14ac:dyDescent="0.2">
      <c r="A1572" s="145" t="s">
        <v>83</v>
      </c>
      <c r="B1572" s="141" t="s">
        <v>1013</v>
      </c>
      <c r="C1572" s="141" t="s">
        <v>1046</v>
      </c>
      <c r="D1572" s="146" t="str">
        <f>D1573</f>
        <v>01 1 04 21110</v>
      </c>
      <c r="E1572" s="141"/>
      <c r="F1572" s="147">
        <f>F1573</f>
        <v>250</v>
      </c>
      <c r="G1572" s="147">
        <f t="shared" si="411"/>
        <v>246.6</v>
      </c>
      <c r="H1572" s="131">
        <f t="shared" si="412"/>
        <v>98.64</v>
      </c>
    </row>
    <row r="1573" spans="1:8" ht="18.75" x14ac:dyDescent="0.2">
      <c r="A1573" s="150" t="s">
        <v>871</v>
      </c>
      <c r="B1573" s="141" t="s">
        <v>1013</v>
      </c>
      <c r="C1573" s="141" t="s">
        <v>1046</v>
      </c>
      <c r="D1573" s="146" t="str">
        <f>D1574</f>
        <v>01 1 04 21110</v>
      </c>
      <c r="E1573" s="151" t="s">
        <v>15</v>
      </c>
      <c r="F1573" s="147">
        <f>F1574</f>
        <v>250</v>
      </c>
      <c r="G1573" s="147">
        <f t="shared" si="411"/>
        <v>246.6</v>
      </c>
      <c r="H1573" s="131">
        <f t="shared" si="412"/>
        <v>98.64</v>
      </c>
    </row>
    <row r="1574" spans="1:8" ht="31.5" x14ac:dyDescent="0.2">
      <c r="A1574" s="150" t="s">
        <v>17</v>
      </c>
      <c r="B1574" s="141" t="s">
        <v>1013</v>
      </c>
      <c r="C1574" s="141" t="s">
        <v>1046</v>
      </c>
      <c r="D1574" s="146" t="str">
        <f>D1575</f>
        <v>01 1 04 21110</v>
      </c>
      <c r="E1574" s="151" t="s">
        <v>16</v>
      </c>
      <c r="F1574" s="147">
        <f t="shared" si="411"/>
        <v>250</v>
      </c>
      <c r="G1574" s="147">
        <f t="shared" si="411"/>
        <v>246.6</v>
      </c>
      <c r="H1574" s="131">
        <f t="shared" si="412"/>
        <v>98.64</v>
      </c>
    </row>
    <row r="1575" spans="1:8" s="82" customFormat="1" ht="18.75" hidden="1" x14ac:dyDescent="0.2">
      <c r="A1575" s="3" t="s">
        <v>548</v>
      </c>
      <c r="B1575" s="2" t="s">
        <v>1013</v>
      </c>
      <c r="C1575" s="2" t="s">
        <v>1046</v>
      </c>
      <c r="D1575" s="4" t="s">
        <v>663</v>
      </c>
      <c r="E1575" s="2" t="s">
        <v>67</v>
      </c>
      <c r="F1575" s="10">
        <v>250</v>
      </c>
      <c r="G1575" s="10">
        <v>246.6</v>
      </c>
      <c r="H1575" s="97">
        <f t="shared" si="412"/>
        <v>98.64</v>
      </c>
    </row>
    <row r="1576" spans="1:8" ht="18.75" x14ac:dyDescent="0.2">
      <c r="A1576" s="135" t="s">
        <v>94</v>
      </c>
      <c r="B1576" s="136" t="s">
        <v>1013</v>
      </c>
      <c r="C1576" s="136" t="s">
        <v>1046</v>
      </c>
      <c r="D1576" s="136" t="s">
        <v>250</v>
      </c>
      <c r="E1576" s="136"/>
      <c r="F1576" s="138">
        <f t="shared" ref="F1576:G1579" si="413">F1577</f>
        <v>400</v>
      </c>
      <c r="G1576" s="138">
        <f t="shared" si="413"/>
        <v>395.94896</v>
      </c>
      <c r="H1576" s="131">
        <f t="shared" si="412"/>
        <v>98.98724</v>
      </c>
    </row>
    <row r="1577" spans="1:8" ht="31.5" x14ac:dyDescent="0.2">
      <c r="A1577" s="154" t="s">
        <v>677</v>
      </c>
      <c r="B1577" s="136" t="s">
        <v>1013</v>
      </c>
      <c r="C1577" s="136" t="s">
        <v>1046</v>
      </c>
      <c r="D1577" s="139" t="s">
        <v>678</v>
      </c>
      <c r="E1577" s="161"/>
      <c r="F1577" s="222">
        <f>F1578</f>
        <v>400</v>
      </c>
      <c r="G1577" s="222">
        <f t="shared" si="413"/>
        <v>395.94896</v>
      </c>
      <c r="H1577" s="131">
        <f t="shared" si="412"/>
        <v>98.98724</v>
      </c>
    </row>
    <row r="1578" spans="1:8" ht="18.75" x14ac:dyDescent="0.2">
      <c r="A1578" s="155" t="s">
        <v>95</v>
      </c>
      <c r="B1578" s="148" t="s">
        <v>1013</v>
      </c>
      <c r="C1578" s="148" t="s">
        <v>1046</v>
      </c>
      <c r="D1578" s="142" t="s">
        <v>679</v>
      </c>
      <c r="E1578" s="148"/>
      <c r="F1578" s="267">
        <f>F1579</f>
        <v>400</v>
      </c>
      <c r="G1578" s="156">
        <f t="shared" si="413"/>
        <v>395.94896</v>
      </c>
      <c r="H1578" s="131">
        <f t="shared" si="412"/>
        <v>98.98724</v>
      </c>
    </row>
    <row r="1579" spans="1:8" ht="18.75" x14ac:dyDescent="0.2">
      <c r="A1579" s="155" t="s">
        <v>98</v>
      </c>
      <c r="B1579" s="148" t="s">
        <v>1013</v>
      </c>
      <c r="C1579" s="148" t="s">
        <v>1046</v>
      </c>
      <c r="D1579" s="142" t="s">
        <v>680</v>
      </c>
      <c r="E1579" s="148"/>
      <c r="F1579" s="267">
        <f>F1580</f>
        <v>400</v>
      </c>
      <c r="G1579" s="156">
        <f t="shared" si="413"/>
        <v>395.94896</v>
      </c>
      <c r="H1579" s="131">
        <f t="shared" si="412"/>
        <v>98.98724</v>
      </c>
    </row>
    <row r="1580" spans="1:8" ht="18.75" x14ac:dyDescent="0.2">
      <c r="A1580" s="145" t="s">
        <v>871</v>
      </c>
      <c r="B1580" s="141" t="s">
        <v>1013</v>
      </c>
      <c r="C1580" s="141" t="s">
        <v>1046</v>
      </c>
      <c r="D1580" s="268" t="s">
        <v>680</v>
      </c>
      <c r="E1580" s="151" t="s">
        <v>15</v>
      </c>
      <c r="F1580" s="269">
        <f t="shared" ref="F1580:G1581" si="414">F1581</f>
        <v>400</v>
      </c>
      <c r="G1580" s="158">
        <f t="shared" si="414"/>
        <v>395.94896</v>
      </c>
      <c r="H1580" s="131">
        <f t="shared" si="412"/>
        <v>98.98724</v>
      </c>
    </row>
    <row r="1581" spans="1:8" ht="31.5" x14ac:dyDescent="0.2">
      <c r="A1581" s="162" t="s">
        <v>17</v>
      </c>
      <c r="B1581" s="141" t="s">
        <v>1013</v>
      </c>
      <c r="C1581" s="141" t="s">
        <v>1046</v>
      </c>
      <c r="D1581" s="268" t="s">
        <v>680</v>
      </c>
      <c r="E1581" s="151" t="s">
        <v>16</v>
      </c>
      <c r="F1581" s="269">
        <f t="shared" si="414"/>
        <v>400</v>
      </c>
      <c r="G1581" s="158">
        <f t="shared" si="414"/>
        <v>395.94896</v>
      </c>
      <c r="H1581" s="131">
        <f t="shared" si="412"/>
        <v>98.98724</v>
      </c>
    </row>
    <row r="1582" spans="1:8" s="82" customFormat="1" ht="18.75" hidden="1" x14ac:dyDescent="0.2">
      <c r="A1582" s="28" t="s">
        <v>548</v>
      </c>
      <c r="B1582" s="2" t="s">
        <v>1013</v>
      </c>
      <c r="C1582" s="2" t="s">
        <v>1046</v>
      </c>
      <c r="D1582" s="22" t="s">
        <v>680</v>
      </c>
      <c r="E1582" s="2" t="s">
        <v>67</v>
      </c>
      <c r="F1582" s="6">
        <v>400</v>
      </c>
      <c r="G1582" s="14">
        <v>395.94896</v>
      </c>
      <c r="H1582" s="97">
        <f t="shared" si="412"/>
        <v>98.98724</v>
      </c>
    </row>
    <row r="1583" spans="1:8" ht="18.75" x14ac:dyDescent="0.2">
      <c r="A1583" s="132" t="s">
        <v>1065</v>
      </c>
      <c r="B1583" s="133" t="s">
        <v>1013</v>
      </c>
      <c r="C1583" s="133" t="s">
        <v>1013</v>
      </c>
      <c r="D1583" s="133" t="s">
        <v>1061</v>
      </c>
      <c r="E1583" s="133"/>
      <c r="F1583" s="134">
        <f>F1584+F1592+F1599</f>
        <v>94390</v>
      </c>
      <c r="G1583" s="134">
        <f t="shared" ref="G1583" si="415">G1584+G1592+G1599</f>
        <v>93459.136039999998</v>
      </c>
      <c r="H1583" s="298">
        <f t="shared" si="412"/>
        <v>99.013810827418155</v>
      </c>
    </row>
    <row r="1584" spans="1:8" ht="18.75" x14ac:dyDescent="0.2">
      <c r="A1584" s="132" t="s">
        <v>1000</v>
      </c>
      <c r="B1584" s="133" t="s">
        <v>1013</v>
      </c>
      <c r="C1584" s="133" t="s">
        <v>1013</v>
      </c>
      <c r="D1584" s="133" t="s">
        <v>214</v>
      </c>
      <c r="E1584" s="133"/>
      <c r="F1584" s="134">
        <f t="shared" ref="F1584:G1588" si="416">F1585</f>
        <v>500</v>
      </c>
      <c r="G1584" s="134">
        <f t="shared" si="416"/>
        <v>499.98</v>
      </c>
      <c r="H1584" s="298">
        <f t="shared" si="412"/>
        <v>99.996000000000009</v>
      </c>
    </row>
    <row r="1585" spans="1:8" ht="18.75" x14ac:dyDescent="0.2">
      <c r="A1585" s="135" t="s">
        <v>94</v>
      </c>
      <c r="B1585" s="136" t="s">
        <v>1013</v>
      </c>
      <c r="C1585" s="136" t="s">
        <v>1013</v>
      </c>
      <c r="D1585" s="136" t="s">
        <v>250</v>
      </c>
      <c r="E1585" s="136"/>
      <c r="F1585" s="138">
        <f t="shared" si="416"/>
        <v>500</v>
      </c>
      <c r="G1585" s="138">
        <f t="shared" si="416"/>
        <v>499.98</v>
      </c>
      <c r="H1585" s="298">
        <f t="shared" si="412"/>
        <v>99.996000000000009</v>
      </c>
    </row>
    <row r="1586" spans="1:8" ht="31.5" x14ac:dyDescent="0.2">
      <c r="A1586" s="154" t="s">
        <v>677</v>
      </c>
      <c r="B1586" s="133" t="s">
        <v>1013</v>
      </c>
      <c r="C1586" s="133" t="s">
        <v>1013</v>
      </c>
      <c r="D1586" s="139" t="s">
        <v>678</v>
      </c>
      <c r="E1586" s="161"/>
      <c r="F1586" s="222">
        <f>F1587</f>
        <v>500</v>
      </c>
      <c r="G1586" s="222">
        <f t="shared" si="416"/>
        <v>499.98</v>
      </c>
      <c r="H1586" s="298">
        <f t="shared" si="412"/>
        <v>99.996000000000009</v>
      </c>
    </row>
    <row r="1587" spans="1:8" ht="18.75" x14ac:dyDescent="0.2">
      <c r="A1587" s="155" t="s">
        <v>95</v>
      </c>
      <c r="B1587" s="148" t="s">
        <v>1013</v>
      </c>
      <c r="C1587" s="148" t="s">
        <v>1013</v>
      </c>
      <c r="D1587" s="142" t="s">
        <v>679</v>
      </c>
      <c r="E1587" s="148"/>
      <c r="F1587" s="267">
        <f>F1588</f>
        <v>500</v>
      </c>
      <c r="G1587" s="156">
        <f t="shared" si="416"/>
        <v>499.98</v>
      </c>
      <c r="H1587" s="298">
        <f t="shared" si="412"/>
        <v>99.996000000000009</v>
      </c>
    </row>
    <row r="1588" spans="1:8" ht="18.75" x14ac:dyDescent="0.2">
      <c r="A1588" s="155" t="s">
        <v>98</v>
      </c>
      <c r="B1588" s="148" t="s">
        <v>1013</v>
      </c>
      <c r="C1588" s="148" t="s">
        <v>1013</v>
      </c>
      <c r="D1588" s="142" t="s">
        <v>680</v>
      </c>
      <c r="E1588" s="148"/>
      <c r="F1588" s="267">
        <f>F1589</f>
        <v>500</v>
      </c>
      <c r="G1588" s="156">
        <f t="shared" si="416"/>
        <v>499.98</v>
      </c>
      <c r="H1588" s="298">
        <f t="shared" si="412"/>
        <v>99.996000000000009</v>
      </c>
    </row>
    <row r="1589" spans="1:8" ht="31.5" x14ac:dyDescent="0.2">
      <c r="A1589" s="162" t="s">
        <v>18</v>
      </c>
      <c r="B1589" s="141" t="s">
        <v>1013</v>
      </c>
      <c r="C1589" s="141" t="s">
        <v>1013</v>
      </c>
      <c r="D1589" s="268" t="s">
        <v>680</v>
      </c>
      <c r="E1589" s="151" t="s">
        <v>20</v>
      </c>
      <c r="F1589" s="269">
        <f t="shared" ref="F1589:G1590" si="417">F1590</f>
        <v>500</v>
      </c>
      <c r="G1589" s="158">
        <f t="shared" si="417"/>
        <v>499.98</v>
      </c>
      <c r="H1589" s="298">
        <f t="shared" si="412"/>
        <v>99.996000000000009</v>
      </c>
    </row>
    <row r="1590" spans="1:8" ht="18.75" x14ac:dyDescent="0.2">
      <c r="A1590" s="162" t="s">
        <v>24</v>
      </c>
      <c r="B1590" s="141" t="s">
        <v>1013</v>
      </c>
      <c r="C1590" s="141" t="s">
        <v>1013</v>
      </c>
      <c r="D1590" s="268" t="s">
        <v>680</v>
      </c>
      <c r="E1590" s="151" t="s">
        <v>25</v>
      </c>
      <c r="F1590" s="269">
        <f t="shared" si="417"/>
        <v>500</v>
      </c>
      <c r="G1590" s="158">
        <f t="shared" si="417"/>
        <v>499.98</v>
      </c>
      <c r="H1590" s="298">
        <f t="shared" si="412"/>
        <v>99.996000000000009</v>
      </c>
    </row>
    <row r="1591" spans="1:8" s="82" customFormat="1" ht="18.75" hidden="1" x14ac:dyDescent="0.2">
      <c r="A1591" s="27" t="s">
        <v>72</v>
      </c>
      <c r="B1591" s="2" t="s">
        <v>1013</v>
      </c>
      <c r="C1591" s="2" t="s">
        <v>1013</v>
      </c>
      <c r="D1591" s="22" t="s">
        <v>680</v>
      </c>
      <c r="E1591" s="5" t="s">
        <v>73</v>
      </c>
      <c r="F1591" s="6">
        <v>500</v>
      </c>
      <c r="G1591" s="14">
        <v>499.98</v>
      </c>
      <c r="H1591" s="100">
        <f t="shared" si="412"/>
        <v>99.996000000000009</v>
      </c>
    </row>
    <row r="1592" spans="1:8" ht="31.5" x14ac:dyDescent="0.2">
      <c r="A1592" s="132" t="s">
        <v>1023</v>
      </c>
      <c r="B1592" s="133" t="s">
        <v>1013</v>
      </c>
      <c r="C1592" s="133" t="s">
        <v>1013</v>
      </c>
      <c r="D1592" s="133" t="s">
        <v>178</v>
      </c>
      <c r="E1592" s="133"/>
      <c r="F1592" s="134">
        <f>F1593</f>
        <v>100</v>
      </c>
      <c r="G1592" s="134">
        <f t="shared" ref="G1592" si="418">G1593</f>
        <v>100</v>
      </c>
      <c r="H1592" s="298">
        <f t="shared" si="412"/>
        <v>100</v>
      </c>
    </row>
    <row r="1593" spans="1:8" ht="18.75" x14ac:dyDescent="0.2">
      <c r="A1593" s="135" t="s">
        <v>329</v>
      </c>
      <c r="B1593" s="136" t="s">
        <v>1013</v>
      </c>
      <c r="C1593" s="136" t="s">
        <v>1013</v>
      </c>
      <c r="D1593" s="137" t="s">
        <v>331</v>
      </c>
      <c r="E1593" s="136"/>
      <c r="F1593" s="138">
        <f t="shared" ref="F1593:G1597" si="419">F1594</f>
        <v>100</v>
      </c>
      <c r="G1593" s="138">
        <f t="shared" si="419"/>
        <v>100</v>
      </c>
      <c r="H1593" s="298">
        <f t="shared" si="412"/>
        <v>100</v>
      </c>
    </row>
    <row r="1594" spans="1:8" ht="47.25" x14ac:dyDescent="0.2">
      <c r="A1594" s="132" t="s">
        <v>332</v>
      </c>
      <c r="B1594" s="133" t="s">
        <v>1013</v>
      </c>
      <c r="C1594" s="133" t="s">
        <v>1013</v>
      </c>
      <c r="D1594" s="139" t="s">
        <v>330</v>
      </c>
      <c r="E1594" s="161"/>
      <c r="F1594" s="222">
        <f>F1595</f>
        <v>100</v>
      </c>
      <c r="G1594" s="222">
        <f t="shared" si="419"/>
        <v>100</v>
      </c>
      <c r="H1594" s="298">
        <f t="shared" si="412"/>
        <v>100</v>
      </c>
    </row>
    <row r="1595" spans="1:8" ht="63" x14ac:dyDescent="0.2">
      <c r="A1595" s="155" t="s">
        <v>435</v>
      </c>
      <c r="B1595" s="148" t="s">
        <v>1013</v>
      </c>
      <c r="C1595" s="148" t="s">
        <v>1013</v>
      </c>
      <c r="D1595" s="142" t="s">
        <v>333</v>
      </c>
      <c r="E1595" s="177"/>
      <c r="F1595" s="144">
        <f>F1596</f>
        <v>100</v>
      </c>
      <c r="G1595" s="144">
        <f t="shared" si="419"/>
        <v>100</v>
      </c>
      <c r="H1595" s="298">
        <f t="shared" si="412"/>
        <v>100</v>
      </c>
    </row>
    <row r="1596" spans="1:8" ht="31.5" x14ac:dyDescent="0.2">
      <c r="A1596" s="157" t="s">
        <v>18</v>
      </c>
      <c r="B1596" s="141" t="s">
        <v>1013</v>
      </c>
      <c r="C1596" s="141" t="s">
        <v>1013</v>
      </c>
      <c r="D1596" s="146" t="s">
        <v>333</v>
      </c>
      <c r="E1596" s="141" t="s">
        <v>20</v>
      </c>
      <c r="F1596" s="147">
        <f>F1597</f>
        <v>100</v>
      </c>
      <c r="G1596" s="147">
        <f t="shared" si="419"/>
        <v>100</v>
      </c>
      <c r="H1596" s="298">
        <f t="shared" si="412"/>
        <v>100</v>
      </c>
    </row>
    <row r="1597" spans="1:8" ht="18.75" x14ac:dyDescent="0.2">
      <c r="A1597" s="157" t="s">
        <v>24</v>
      </c>
      <c r="B1597" s="141" t="s">
        <v>1013</v>
      </c>
      <c r="C1597" s="141" t="s">
        <v>1013</v>
      </c>
      <c r="D1597" s="146" t="s">
        <v>333</v>
      </c>
      <c r="E1597" s="141" t="s">
        <v>25</v>
      </c>
      <c r="F1597" s="147">
        <f>F1598</f>
        <v>100</v>
      </c>
      <c r="G1597" s="147">
        <f t="shared" si="419"/>
        <v>100</v>
      </c>
      <c r="H1597" s="298">
        <f t="shared" si="412"/>
        <v>100</v>
      </c>
    </row>
    <row r="1598" spans="1:8" s="82" customFormat="1" ht="18.75" hidden="1" x14ac:dyDescent="0.2">
      <c r="A1598" s="28" t="s">
        <v>72</v>
      </c>
      <c r="B1598" s="2" t="s">
        <v>1013</v>
      </c>
      <c r="C1598" s="2" t="s">
        <v>1013</v>
      </c>
      <c r="D1598" s="4" t="s">
        <v>333</v>
      </c>
      <c r="E1598" s="2" t="s">
        <v>73</v>
      </c>
      <c r="F1598" s="10">
        <f>100</f>
        <v>100</v>
      </c>
      <c r="G1598" s="10">
        <v>100</v>
      </c>
      <c r="H1598" s="100">
        <f t="shared" si="412"/>
        <v>100</v>
      </c>
    </row>
    <row r="1599" spans="1:8" ht="31.5" x14ac:dyDescent="0.2">
      <c r="A1599" s="132" t="s">
        <v>1066</v>
      </c>
      <c r="B1599" s="133" t="s">
        <v>1013</v>
      </c>
      <c r="C1599" s="133" t="s">
        <v>1013</v>
      </c>
      <c r="D1599" s="133" t="s">
        <v>180</v>
      </c>
      <c r="E1599" s="133"/>
      <c r="F1599" s="134">
        <f>F1600+F1651</f>
        <v>93790</v>
      </c>
      <c r="G1599" s="134">
        <f>G1600+G1651</f>
        <v>92859.156040000002</v>
      </c>
      <c r="H1599" s="298">
        <f t="shared" si="412"/>
        <v>99.007523232754025</v>
      </c>
    </row>
    <row r="1600" spans="1:8" ht="18.75" x14ac:dyDescent="0.2">
      <c r="A1600" s="135" t="s">
        <v>49</v>
      </c>
      <c r="B1600" s="136" t="s">
        <v>1013</v>
      </c>
      <c r="C1600" s="136" t="s">
        <v>1013</v>
      </c>
      <c r="D1600" s="137" t="s">
        <v>181</v>
      </c>
      <c r="E1600" s="136"/>
      <c r="F1600" s="138">
        <f>F1601+F1613</f>
        <v>38665</v>
      </c>
      <c r="G1600" s="138">
        <f>G1601+G1613</f>
        <v>38215.205820000003</v>
      </c>
      <c r="H1600" s="298">
        <f t="shared" si="412"/>
        <v>98.836689046941686</v>
      </c>
    </row>
    <row r="1601" spans="1:8" ht="31.5" x14ac:dyDescent="0.2">
      <c r="A1601" s="132" t="s">
        <v>291</v>
      </c>
      <c r="B1601" s="133" t="s">
        <v>1013</v>
      </c>
      <c r="C1601" s="133" t="s">
        <v>1013</v>
      </c>
      <c r="D1601" s="139" t="s">
        <v>208</v>
      </c>
      <c r="E1601" s="161"/>
      <c r="F1601" s="134">
        <f>F1602</f>
        <v>8006</v>
      </c>
      <c r="G1601" s="134">
        <f>G1602</f>
        <v>7700.5046899999998</v>
      </c>
      <c r="H1601" s="298">
        <f t="shared" si="412"/>
        <v>96.184170497127155</v>
      </c>
    </row>
    <row r="1602" spans="1:8" ht="31.5" x14ac:dyDescent="0.2">
      <c r="A1602" s="155" t="s">
        <v>436</v>
      </c>
      <c r="B1602" s="148" t="s">
        <v>1013</v>
      </c>
      <c r="C1602" s="148" t="s">
        <v>1013</v>
      </c>
      <c r="D1602" s="148" t="s">
        <v>184</v>
      </c>
      <c r="E1602" s="148"/>
      <c r="F1602" s="144">
        <f>F1603+F1606</f>
        <v>8006</v>
      </c>
      <c r="G1602" s="144">
        <f>G1603+G1606</f>
        <v>7700.5046899999998</v>
      </c>
      <c r="H1602" s="298">
        <f t="shared" si="412"/>
        <v>96.184170497127155</v>
      </c>
    </row>
    <row r="1603" spans="1:8" ht="18.75" x14ac:dyDescent="0.2">
      <c r="A1603" s="157" t="s">
        <v>871</v>
      </c>
      <c r="B1603" s="141" t="s">
        <v>1013</v>
      </c>
      <c r="C1603" s="141" t="s">
        <v>1013</v>
      </c>
      <c r="D1603" s="141" t="s">
        <v>184</v>
      </c>
      <c r="E1603" s="141" t="s">
        <v>15</v>
      </c>
      <c r="F1603" s="147">
        <f t="shared" ref="F1603:G1604" si="420">F1604</f>
        <v>1938</v>
      </c>
      <c r="G1603" s="147">
        <f t="shared" si="420"/>
        <v>1638.3556900000001</v>
      </c>
      <c r="H1603" s="298">
        <f t="shared" si="412"/>
        <v>84.53847729618164</v>
      </c>
    </row>
    <row r="1604" spans="1:8" ht="31.5" x14ac:dyDescent="0.2">
      <c r="A1604" s="157" t="s">
        <v>17</v>
      </c>
      <c r="B1604" s="141" t="s">
        <v>1013</v>
      </c>
      <c r="C1604" s="141" t="s">
        <v>1013</v>
      </c>
      <c r="D1604" s="141" t="s">
        <v>184</v>
      </c>
      <c r="E1604" s="141" t="s">
        <v>16</v>
      </c>
      <c r="F1604" s="147">
        <f t="shared" si="420"/>
        <v>1938</v>
      </c>
      <c r="G1604" s="147">
        <f t="shared" si="420"/>
        <v>1638.3556900000001</v>
      </c>
      <c r="H1604" s="298">
        <f t="shared" si="412"/>
        <v>84.53847729618164</v>
      </c>
    </row>
    <row r="1605" spans="1:8" s="82" customFormat="1" ht="18.75" hidden="1" x14ac:dyDescent="0.2">
      <c r="A1605" s="3" t="s">
        <v>548</v>
      </c>
      <c r="B1605" s="2" t="s">
        <v>1013</v>
      </c>
      <c r="C1605" s="2" t="s">
        <v>1013</v>
      </c>
      <c r="D1605" s="2" t="s">
        <v>184</v>
      </c>
      <c r="E1605" s="13" t="s">
        <v>67</v>
      </c>
      <c r="F1605" s="10">
        <f>2006-68</f>
        <v>1938</v>
      </c>
      <c r="G1605" s="10">
        <v>1638.3556900000001</v>
      </c>
      <c r="H1605" s="100">
        <f t="shared" si="412"/>
        <v>84.53847729618164</v>
      </c>
    </row>
    <row r="1606" spans="1:8" ht="31.5" x14ac:dyDescent="0.2">
      <c r="A1606" s="157" t="s">
        <v>18</v>
      </c>
      <c r="B1606" s="141" t="s">
        <v>1013</v>
      </c>
      <c r="C1606" s="141" t="s">
        <v>1013</v>
      </c>
      <c r="D1606" s="141" t="s">
        <v>184</v>
      </c>
      <c r="E1606" s="171" t="s">
        <v>20</v>
      </c>
      <c r="F1606" s="147">
        <f>F1607+F1609+F1611</f>
        <v>6068</v>
      </c>
      <c r="G1606" s="147">
        <f>G1607+G1609+G1611</f>
        <v>6062.1489999999994</v>
      </c>
      <c r="H1606" s="298">
        <f t="shared" si="412"/>
        <v>99.903576137112708</v>
      </c>
    </row>
    <row r="1607" spans="1:8" ht="18.75" x14ac:dyDescent="0.2">
      <c r="A1607" s="157" t="s">
        <v>24</v>
      </c>
      <c r="B1607" s="141" t="s">
        <v>1013</v>
      </c>
      <c r="C1607" s="141" t="s">
        <v>1013</v>
      </c>
      <c r="D1607" s="141" t="s">
        <v>184</v>
      </c>
      <c r="E1607" s="171" t="s">
        <v>25</v>
      </c>
      <c r="F1607" s="147">
        <f>F1608</f>
        <v>1820</v>
      </c>
      <c r="G1607" s="147">
        <f>G1608</f>
        <v>1814.1489999999999</v>
      </c>
      <c r="H1607" s="298">
        <f t="shared" si="412"/>
        <v>99.678516483516475</v>
      </c>
    </row>
    <row r="1608" spans="1:8" s="82" customFormat="1" ht="18.75" hidden="1" x14ac:dyDescent="0.2">
      <c r="A1608" s="28" t="s">
        <v>72</v>
      </c>
      <c r="B1608" s="2" t="s">
        <v>1013</v>
      </c>
      <c r="C1608" s="2" t="s">
        <v>1013</v>
      </c>
      <c r="D1608" s="2" t="s">
        <v>184</v>
      </c>
      <c r="E1608" s="13" t="s">
        <v>73</v>
      </c>
      <c r="F1608" s="10">
        <f>890+300-20+650</f>
        <v>1820</v>
      </c>
      <c r="G1608" s="10">
        <v>1814.1489999999999</v>
      </c>
      <c r="H1608" s="100">
        <f t="shared" si="412"/>
        <v>99.678516483516475</v>
      </c>
    </row>
    <row r="1609" spans="1:8" ht="18.75" x14ac:dyDescent="0.2">
      <c r="A1609" s="157" t="s">
        <v>19</v>
      </c>
      <c r="B1609" s="141" t="s">
        <v>1013</v>
      </c>
      <c r="C1609" s="141" t="s">
        <v>1013</v>
      </c>
      <c r="D1609" s="141" t="s">
        <v>184</v>
      </c>
      <c r="E1609" s="171" t="s">
        <v>21</v>
      </c>
      <c r="F1609" s="147">
        <f>F1610</f>
        <v>716</v>
      </c>
      <c r="G1609" s="147">
        <f>G1610</f>
        <v>716</v>
      </c>
      <c r="H1609" s="298">
        <f t="shared" si="412"/>
        <v>100</v>
      </c>
    </row>
    <row r="1610" spans="1:8" s="82" customFormat="1" ht="18.75" hidden="1" x14ac:dyDescent="0.2">
      <c r="A1610" s="28" t="s">
        <v>74</v>
      </c>
      <c r="B1610" s="2" t="s">
        <v>1013</v>
      </c>
      <c r="C1610" s="2" t="s">
        <v>1013</v>
      </c>
      <c r="D1610" s="2" t="s">
        <v>184</v>
      </c>
      <c r="E1610" s="13" t="s">
        <v>75</v>
      </c>
      <c r="F1610" s="10">
        <f>816-100</f>
        <v>716</v>
      </c>
      <c r="G1610" s="10">
        <v>716</v>
      </c>
      <c r="H1610" s="100">
        <f t="shared" si="412"/>
        <v>100</v>
      </c>
    </row>
    <row r="1611" spans="1:8" ht="31.5" x14ac:dyDescent="0.2">
      <c r="A1611" s="157" t="s">
        <v>26</v>
      </c>
      <c r="B1611" s="141" t="s">
        <v>1013</v>
      </c>
      <c r="C1611" s="141" t="s">
        <v>1013</v>
      </c>
      <c r="D1611" s="141" t="s">
        <v>184</v>
      </c>
      <c r="E1611" s="171" t="s">
        <v>0</v>
      </c>
      <c r="F1611" s="147">
        <f>F1612</f>
        <v>3532</v>
      </c>
      <c r="G1611" s="147">
        <f>G1612</f>
        <v>3532</v>
      </c>
      <c r="H1611" s="298">
        <f t="shared" si="412"/>
        <v>100</v>
      </c>
    </row>
    <row r="1612" spans="1:8" s="82" customFormat="1" ht="31.5" hidden="1" x14ac:dyDescent="0.2">
      <c r="A1612" s="3" t="s">
        <v>875</v>
      </c>
      <c r="B1612" s="2" t="s">
        <v>1013</v>
      </c>
      <c r="C1612" s="2" t="s">
        <v>1013</v>
      </c>
      <c r="D1612" s="2" t="s">
        <v>184</v>
      </c>
      <c r="E1612" s="13" t="s">
        <v>472</v>
      </c>
      <c r="F1612" s="10">
        <f>4482-300-650</f>
        <v>3532</v>
      </c>
      <c r="G1612" s="10">
        <v>3532</v>
      </c>
      <c r="H1612" s="100">
        <f t="shared" si="412"/>
        <v>100</v>
      </c>
    </row>
    <row r="1613" spans="1:8" ht="18.75" x14ac:dyDescent="0.2">
      <c r="A1613" s="132" t="s">
        <v>185</v>
      </c>
      <c r="B1613" s="133" t="s">
        <v>1013</v>
      </c>
      <c r="C1613" s="133" t="s">
        <v>1013</v>
      </c>
      <c r="D1613" s="139" t="s">
        <v>213</v>
      </c>
      <c r="E1613" s="161"/>
      <c r="F1613" s="134">
        <f>F1614+F1625+F1636+F1647</f>
        <v>30659</v>
      </c>
      <c r="G1613" s="134">
        <f>G1614+G1625+G1636+G1647</f>
        <v>30514.701130000001</v>
      </c>
      <c r="H1613" s="298">
        <f t="shared" si="412"/>
        <v>99.529342542157281</v>
      </c>
    </row>
    <row r="1614" spans="1:8" ht="18.75" x14ac:dyDescent="0.2">
      <c r="A1614" s="155" t="s">
        <v>186</v>
      </c>
      <c r="B1614" s="141" t="s">
        <v>1013</v>
      </c>
      <c r="C1614" s="141" t="s">
        <v>1013</v>
      </c>
      <c r="D1614" s="148" t="s">
        <v>336</v>
      </c>
      <c r="E1614" s="148"/>
      <c r="F1614" s="144">
        <f>F1615+F1618</f>
        <v>5357</v>
      </c>
      <c r="G1614" s="144">
        <f>G1615+G1618</f>
        <v>5323.1273700000002</v>
      </c>
      <c r="H1614" s="298">
        <f t="shared" si="412"/>
        <v>99.367694045174531</v>
      </c>
    </row>
    <row r="1615" spans="1:8" ht="18.75" x14ac:dyDescent="0.2">
      <c r="A1615" s="157" t="s">
        <v>871</v>
      </c>
      <c r="B1615" s="141" t="s">
        <v>1013</v>
      </c>
      <c r="C1615" s="141" t="s">
        <v>1013</v>
      </c>
      <c r="D1615" s="141" t="s">
        <v>336</v>
      </c>
      <c r="E1615" s="141" t="s">
        <v>15</v>
      </c>
      <c r="F1615" s="147">
        <f t="shared" ref="F1615:G1616" si="421">F1616</f>
        <v>1765</v>
      </c>
      <c r="G1615" s="147">
        <f t="shared" si="421"/>
        <v>1731.9253699999999</v>
      </c>
      <c r="H1615" s="298">
        <f t="shared" si="412"/>
        <v>98.126083286118984</v>
      </c>
    </row>
    <row r="1616" spans="1:8" ht="31.5" x14ac:dyDescent="0.2">
      <c r="A1616" s="157" t="s">
        <v>17</v>
      </c>
      <c r="B1616" s="141" t="s">
        <v>1013</v>
      </c>
      <c r="C1616" s="141" t="s">
        <v>1013</v>
      </c>
      <c r="D1616" s="141" t="s">
        <v>336</v>
      </c>
      <c r="E1616" s="141" t="s">
        <v>16</v>
      </c>
      <c r="F1616" s="147">
        <f t="shared" si="421"/>
        <v>1765</v>
      </c>
      <c r="G1616" s="147">
        <f t="shared" si="421"/>
        <v>1731.9253699999999</v>
      </c>
      <c r="H1616" s="298">
        <f t="shared" si="412"/>
        <v>98.126083286118984</v>
      </c>
    </row>
    <row r="1617" spans="1:8" s="82" customFormat="1" ht="18.75" hidden="1" x14ac:dyDescent="0.2">
      <c r="A1617" s="3" t="s">
        <v>548</v>
      </c>
      <c r="B1617" s="2" t="s">
        <v>1013</v>
      </c>
      <c r="C1617" s="2" t="s">
        <v>1013</v>
      </c>
      <c r="D1617" s="2" t="s">
        <v>336</v>
      </c>
      <c r="E1617" s="13" t="s">
        <v>67</v>
      </c>
      <c r="F1617" s="10">
        <f>2192-379-48</f>
        <v>1765</v>
      </c>
      <c r="G1617" s="10">
        <v>1731.9253699999999</v>
      </c>
      <c r="H1617" s="100">
        <f t="shared" si="412"/>
        <v>98.126083286118984</v>
      </c>
    </row>
    <row r="1618" spans="1:8" ht="31.5" x14ac:dyDescent="0.2">
      <c r="A1618" s="157" t="s">
        <v>18</v>
      </c>
      <c r="B1618" s="141" t="s">
        <v>1013</v>
      </c>
      <c r="C1618" s="141" t="s">
        <v>1013</v>
      </c>
      <c r="D1618" s="141" t="s">
        <v>336</v>
      </c>
      <c r="E1618" s="171" t="s">
        <v>20</v>
      </c>
      <c r="F1618" s="147">
        <f>F1619+F1621+F1623</f>
        <v>3592</v>
      </c>
      <c r="G1618" s="147">
        <f>G1619+G1621+G1623</f>
        <v>3591.2020000000002</v>
      </c>
      <c r="H1618" s="298">
        <f t="shared" si="412"/>
        <v>99.977783964365258</v>
      </c>
    </row>
    <row r="1619" spans="1:8" ht="18.75" x14ac:dyDescent="0.2">
      <c r="A1619" s="157" t="s">
        <v>24</v>
      </c>
      <c r="B1619" s="141" t="s">
        <v>1013</v>
      </c>
      <c r="C1619" s="141" t="s">
        <v>1013</v>
      </c>
      <c r="D1619" s="141" t="s">
        <v>336</v>
      </c>
      <c r="E1619" s="171" t="s">
        <v>25</v>
      </c>
      <c r="F1619" s="147">
        <f>F1620</f>
        <v>490</v>
      </c>
      <c r="G1619" s="147">
        <f>G1620</f>
        <v>489.202</v>
      </c>
      <c r="H1619" s="298">
        <f t="shared" si="412"/>
        <v>99.837142857142851</v>
      </c>
    </row>
    <row r="1620" spans="1:8" s="82" customFormat="1" ht="18.75" hidden="1" x14ac:dyDescent="0.2">
      <c r="A1620" s="28" t="s">
        <v>72</v>
      </c>
      <c r="B1620" s="2" t="s">
        <v>1013</v>
      </c>
      <c r="C1620" s="2" t="s">
        <v>1013</v>
      </c>
      <c r="D1620" s="2" t="s">
        <v>336</v>
      </c>
      <c r="E1620" s="13" t="s">
        <v>73</v>
      </c>
      <c r="F1620" s="10">
        <f>540-50</f>
        <v>490</v>
      </c>
      <c r="G1620" s="10">
        <v>489.202</v>
      </c>
      <c r="H1620" s="100">
        <f t="shared" si="412"/>
        <v>99.837142857142851</v>
      </c>
    </row>
    <row r="1621" spans="1:8" ht="18.75" x14ac:dyDescent="0.2">
      <c r="A1621" s="157" t="s">
        <v>19</v>
      </c>
      <c r="B1621" s="141" t="s">
        <v>1013</v>
      </c>
      <c r="C1621" s="141" t="s">
        <v>1013</v>
      </c>
      <c r="D1621" s="141" t="s">
        <v>336</v>
      </c>
      <c r="E1621" s="171" t="s">
        <v>21</v>
      </c>
      <c r="F1621" s="147">
        <f>F1622</f>
        <v>700</v>
      </c>
      <c r="G1621" s="147">
        <f>G1622</f>
        <v>700</v>
      </c>
      <c r="H1621" s="298">
        <f t="shared" si="412"/>
        <v>100</v>
      </c>
    </row>
    <row r="1622" spans="1:8" s="82" customFormat="1" ht="18.75" hidden="1" x14ac:dyDescent="0.2">
      <c r="A1622" s="28" t="s">
        <v>74</v>
      </c>
      <c r="B1622" s="2" t="s">
        <v>1013</v>
      </c>
      <c r="C1622" s="2" t="s">
        <v>1013</v>
      </c>
      <c r="D1622" s="2" t="s">
        <v>336</v>
      </c>
      <c r="E1622" s="13" t="s">
        <v>75</v>
      </c>
      <c r="F1622" s="10">
        <v>700</v>
      </c>
      <c r="G1622" s="10">
        <v>700</v>
      </c>
      <c r="H1622" s="100">
        <f t="shared" si="412"/>
        <v>100</v>
      </c>
    </row>
    <row r="1623" spans="1:8" ht="31.5" x14ac:dyDescent="0.2">
      <c r="A1623" s="157" t="s">
        <v>26</v>
      </c>
      <c r="B1623" s="141" t="s">
        <v>1013</v>
      </c>
      <c r="C1623" s="141" t="s">
        <v>1013</v>
      </c>
      <c r="D1623" s="141" t="s">
        <v>336</v>
      </c>
      <c r="E1623" s="171" t="s">
        <v>0</v>
      </c>
      <c r="F1623" s="147">
        <f>F1624</f>
        <v>2402</v>
      </c>
      <c r="G1623" s="147">
        <f>G1624</f>
        <v>2402</v>
      </c>
      <c r="H1623" s="298">
        <f t="shared" si="412"/>
        <v>100</v>
      </c>
    </row>
    <row r="1624" spans="1:8" s="82" customFormat="1" ht="31.5" hidden="1" x14ac:dyDescent="0.2">
      <c r="A1624" s="3" t="s">
        <v>875</v>
      </c>
      <c r="B1624" s="2" t="s">
        <v>1013</v>
      </c>
      <c r="C1624" s="2" t="s">
        <v>1013</v>
      </c>
      <c r="D1624" s="2" t="s">
        <v>336</v>
      </c>
      <c r="E1624" s="13" t="s">
        <v>472</v>
      </c>
      <c r="F1624" s="10">
        <v>2402</v>
      </c>
      <c r="G1624" s="10">
        <v>2402</v>
      </c>
      <c r="H1624" s="100">
        <f t="shared" si="412"/>
        <v>100</v>
      </c>
    </row>
    <row r="1625" spans="1:8" ht="31.5" x14ac:dyDescent="0.2">
      <c r="A1625" s="155" t="s">
        <v>337</v>
      </c>
      <c r="B1625" s="148" t="s">
        <v>1013</v>
      </c>
      <c r="C1625" s="148" t="s">
        <v>1013</v>
      </c>
      <c r="D1625" s="148" t="s">
        <v>363</v>
      </c>
      <c r="E1625" s="136"/>
      <c r="F1625" s="144">
        <f>F1626+F1629</f>
        <v>1327</v>
      </c>
      <c r="G1625" s="144">
        <f>G1626+G1629</f>
        <v>1237.99576</v>
      </c>
      <c r="H1625" s="298">
        <f t="shared" si="412"/>
        <v>93.292822908816888</v>
      </c>
    </row>
    <row r="1626" spans="1:8" ht="18.75" x14ac:dyDescent="0.2">
      <c r="A1626" s="157" t="s">
        <v>871</v>
      </c>
      <c r="B1626" s="141" t="s">
        <v>1013</v>
      </c>
      <c r="C1626" s="141" t="s">
        <v>1013</v>
      </c>
      <c r="D1626" s="141" t="s">
        <v>363</v>
      </c>
      <c r="E1626" s="141" t="s">
        <v>15</v>
      </c>
      <c r="F1626" s="147">
        <f t="shared" ref="F1626:G1627" si="422">F1627</f>
        <v>457</v>
      </c>
      <c r="G1626" s="147">
        <f t="shared" si="422"/>
        <v>368.32576</v>
      </c>
      <c r="H1626" s="298">
        <f t="shared" si="412"/>
        <v>80.59644638949672</v>
      </c>
    </row>
    <row r="1627" spans="1:8" ht="31.5" x14ac:dyDescent="0.2">
      <c r="A1627" s="157" t="s">
        <v>17</v>
      </c>
      <c r="B1627" s="141" t="s">
        <v>1013</v>
      </c>
      <c r="C1627" s="141" t="s">
        <v>1013</v>
      </c>
      <c r="D1627" s="141" t="s">
        <v>363</v>
      </c>
      <c r="E1627" s="141" t="s">
        <v>16</v>
      </c>
      <c r="F1627" s="147">
        <f t="shared" si="422"/>
        <v>457</v>
      </c>
      <c r="G1627" s="147">
        <f t="shared" si="422"/>
        <v>368.32576</v>
      </c>
      <c r="H1627" s="298">
        <f t="shared" si="412"/>
        <v>80.59644638949672</v>
      </c>
    </row>
    <row r="1628" spans="1:8" s="82" customFormat="1" ht="18.75" hidden="1" x14ac:dyDescent="0.2">
      <c r="A1628" s="3" t="s">
        <v>548</v>
      </c>
      <c r="B1628" s="2" t="s">
        <v>1013</v>
      </c>
      <c r="C1628" s="2" t="s">
        <v>1013</v>
      </c>
      <c r="D1628" s="2" t="s">
        <v>363</v>
      </c>
      <c r="E1628" s="13" t="s">
        <v>67</v>
      </c>
      <c r="F1628" s="10">
        <f>462-5</f>
        <v>457</v>
      </c>
      <c r="G1628" s="10">
        <v>368.32576</v>
      </c>
      <c r="H1628" s="100">
        <f t="shared" si="412"/>
        <v>80.59644638949672</v>
      </c>
    </row>
    <row r="1629" spans="1:8" ht="31.5" x14ac:dyDescent="0.2">
      <c r="A1629" s="157" t="s">
        <v>18</v>
      </c>
      <c r="B1629" s="141" t="s">
        <v>1013</v>
      </c>
      <c r="C1629" s="141" t="s">
        <v>1013</v>
      </c>
      <c r="D1629" s="141" t="s">
        <v>363</v>
      </c>
      <c r="E1629" s="171" t="s">
        <v>20</v>
      </c>
      <c r="F1629" s="147">
        <f>F1630+F1632+F1634</f>
        <v>870</v>
      </c>
      <c r="G1629" s="147">
        <f>G1630+G1632+G1634</f>
        <v>869.67</v>
      </c>
      <c r="H1629" s="298">
        <f t="shared" si="412"/>
        <v>99.962068965517233</v>
      </c>
    </row>
    <row r="1630" spans="1:8" ht="18.75" x14ac:dyDescent="0.2">
      <c r="A1630" s="157" t="s">
        <v>24</v>
      </c>
      <c r="B1630" s="141" t="s">
        <v>1013</v>
      </c>
      <c r="C1630" s="141" t="s">
        <v>1013</v>
      </c>
      <c r="D1630" s="141" t="s">
        <v>363</v>
      </c>
      <c r="E1630" s="171" t="s">
        <v>25</v>
      </c>
      <c r="F1630" s="147">
        <f>F1631</f>
        <v>150</v>
      </c>
      <c r="G1630" s="147">
        <f>G1631</f>
        <v>149.66999999999999</v>
      </c>
      <c r="H1630" s="298">
        <f t="shared" si="412"/>
        <v>99.779999999999987</v>
      </c>
    </row>
    <row r="1631" spans="1:8" s="82" customFormat="1" ht="18.75" hidden="1" x14ac:dyDescent="0.2">
      <c r="A1631" s="28" t="s">
        <v>72</v>
      </c>
      <c r="B1631" s="2" t="s">
        <v>1013</v>
      </c>
      <c r="C1631" s="2" t="s">
        <v>1013</v>
      </c>
      <c r="D1631" s="2" t="s">
        <v>363</v>
      </c>
      <c r="E1631" s="13" t="s">
        <v>73</v>
      </c>
      <c r="F1631" s="10">
        <v>150</v>
      </c>
      <c r="G1631" s="10">
        <v>149.66999999999999</v>
      </c>
      <c r="H1631" s="100">
        <f t="shared" si="412"/>
        <v>99.779999999999987</v>
      </c>
    </row>
    <row r="1632" spans="1:8" ht="18.75" x14ac:dyDescent="0.2">
      <c r="A1632" s="157" t="s">
        <v>19</v>
      </c>
      <c r="B1632" s="141" t="s">
        <v>1013</v>
      </c>
      <c r="C1632" s="141" t="s">
        <v>1013</v>
      </c>
      <c r="D1632" s="141" t="s">
        <v>363</v>
      </c>
      <c r="E1632" s="171" t="s">
        <v>21</v>
      </c>
      <c r="F1632" s="147">
        <f>F1633</f>
        <v>230</v>
      </c>
      <c r="G1632" s="147">
        <f>G1633</f>
        <v>230</v>
      </c>
      <c r="H1632" s="298">
        <f t="shared" si="412"/>
        <v>100</v>
      </c>
    </row>
    <row r="1633" spans="1:8" s="82" customFormat="1" ht="18.75" hidden="1" x14ac:dyDescent="0.2">
      <c r="A1633" s="28" t="s">
        <v>74</v>
      </c>
      <c r="B1633" s="2" t="s">
        <v>1013</v>
      </c>
      <c r="C1633" s="2" t="s">
        <v>1013</v>
      </c>
      <c r="D1633" s="2" t="s">
        <v>363</v>
      </c>
      <c r="E1633" s="13" t="s">
        <v>75</v>
      </c>
      <c r="F1633" s="10">
        <v>230</v>
      </c>
      <c r="G1633" s="10">
        <v>230</v>
      </c>
      <c r="H1633" s="100">
        <f t="shared" si="412"/>
        <v>100</v>
      </c>
    </row>
    <row r="1634" spans="1:8" ht="31.5" x14ac:dyDescent="0.2">
      <c r="A1634" s="157" t="s">
        <v>26</v>
      </c>
      <c r="B1634" s="141" t="s">
        <v>1013</v>
      </c>
      <c r="C1634" s="141" t="s">
        <v>1013</v>
      </c>
      <c r="D1634" s="141" t="s">
        <v>363</v>
      </c>
      <c r="E1634" s="171" t="s">
        <v>0</v>
      </c>
      <c r="F1634" s="147">
        <f>F1635</f>
        <v>490</v>
      </c>
      <c r="G1634" s="147">
        <f>G1635</f>
        <v>490</v>
      </c>
      <c r="H1634" s="298">
        <f t="shared" si="412"/>
        <v>100</v>
      </c>
    </row>
    <row r="1635" spans="1:8" s="82" customFormat="1" ht="31.5" hidden="1" x14ac:dyDescent="0.2">
      <c r="A1635" s="3" t="s">
        <v>875</v>
      </c>
      <c r="B1635" s="2" t="s">
        <v>1013</v>
      </c>
      <c r="C1635" s="2" t="s">
        <v>1013</v>
      </c>
      <c r="D1635" s="2" t="s">
        <v>363</v>
      </c>
      <c r="E1635" s="13" t="s">
        <v>472</v>
      </c>
      <c r="F1635" s="10">
        <v>490</v>
      </c>
      <c r="G1635" s="10">
        <v>490</v>
      </c>
      <c r="H1635" s="100">
        <f t="shared" ref="H1635:H1698" si="423">G1635/F1635*100</f>
        <v>100</v>
      </c>
    </row>
    <row r="1636" spans="1:8" ht="31.5" x14ac:dyDescent="0.2">
      <c r="A1636" s="155" t="s">
        <v>339</v>
      </c>
      <c r="B1636" s="148" t="s">
        <v>1013</v>
      </c>
      <c r="C1636" s="148" t="s">
        <v>1013</v>
      </c>
      <c r="D1636" s="148" t="s">
        <v>364</v>
      </c>
      <c r="E1636" s="136"/>
      <c r="F1636" s="144">
        <f>F1637+F1640</f>
        <v>1221</v>
      </c>
      <c r="G1636" s="144">
        <f>G1637+G1640</f>
        <v>1199.578</v>
      </c>
      <c r="H1636" s="298">
        <f t="shared" si="423"/>
        <v>98.245536445536445</v>
      </c>
    </row>
    <row r="1637" spans="1:8" ht="18.75" x14ac:dyDescent="0.2">
      <c r="A1637" s="157" t="s">
        <v>871</v>
      </c>
      <c r="B1637" s="141" t="s">
        <v>1013</v>
      </c>
      <c r="C1637" s="141" t="s">
        <v>1013</v>
      </c>
      <c r="D1637" s="141" t="s">
        <v>364</v>
      </c>
      <c r="E1637" s="141" t="s">
        <v>15</v>
      </c>
      <c r="F1637" s="147">
        <f t="shared" ref="F1637:G1638" si="424">F1638</f>
        <v>16</v>
      </c>
      <c r="G1637" s="147">
        <f t="shared" si="424"/>
        <v>0</v>
      </c>
      <c r="H1637" s="298">
        <f t="shared" si="423"/>
        <v>0</v>
      </c>
    </row>
    <row r="1638" spans="1:8" ht="31.5" x14ac:dyDescent="0.2">
      <c r="A1638" s="157" t="s">
        <v>17</v>
      </c>
      <c r="B1638" s="141" t="s">
        <v>1013</v>
      </c>
      <c r="C1638" s="141" t="s">
        <v>1013</v>
      </c>
      <c r="D1638" s="141" t="s">
        <v>364</v>
      </c>
      <c r="E1638" s="141" t="s">
        <v>16</v>
      </c>
      <c r="F1638" s="147">
        <f t="shared" si="424"/>
        <v>16</v>
      </c>
      <c r="G1638" s="147">
        <f t="shared" si="424"/>
        <v>0</v>
      </c>
      <c r="H1638" s="298">
        <f t="shared" si="423"/>
        <v>0</v>
      </c>
    </row>
    <row r="1639" spans="1:8" s="82" customFormat="1" ht="18.75" hidden="1" x14ac:dyDescent="0.2">
      <c r="A1639" s="3" t="s">
        <v>548</v>
      </c>
      <c r="B1639" s="2" t="s">
        <v>1013</v>
      </c>
      <c r="C1639" s="2" t="s">
        <v>1013</v>
      </c>
      <c r="D1639" s="2" t="s">
        <v>364</v>
      </c>
      <c r="E1639" s="13" t="s">
        <v>67</v>
      </c>
      <c r="F1639" s="10">
        <f>83-55-12</f>
        <v>16</v>
      </c>
      <c r="G1639" s="10">
        <v>0</v>
      </c>
      <c r="H1639" s="100">
        <f t="shared" si="423"/>
        <v>0</v>
      </c>
    </row>
    <row r="1640" spans="1:8" ht="31.5" x14ac:dyDescent="0.2">
      <c r="A1640" s="157" t="s">
        <v>18</v>
      </c>
      <c r="B1640" s="141" t="s">
        <v>1013</v>
      </c>
      <c r="C1640" s="141" t="s">
        <v>1013</v>
      </c>
      <c r="D1640" s="141" t="s">
        <v>364</v>
      </c>
      <c r="E1640" s="141" t="s">
        <v>20</v>
      </c>
      <c r="F1640" s="147">
        <f>F1641+F1643+F1645</f>
        <v>1205</v>
      </c>
      <c r="G1640" s="147">
        <f>G1641+G1643+G1645</f>
        <v>1199.578</v>
      </c>
      <c r="H1640" s="298">
        <f t="shared" si="423"/>
        <v>99.550041493775936</v>
      </c>
    </row>
    <row r="1641" spans="1:8" ht="18.75" x14ac:dyDescent="0.2">
      <c r="A1641" s="157" t="s">
        <v>24</v>
      </c>
      <c r="B1641" s="141" t="s">
        <v>1013</v>
      </c>
      <c r="C1641" s="141" t="s">
        <v>1013</v>
      </c>
      <c r="D1641" s="141" t="s">
        <v>364</v>
      </c>
      <c r="E1641" s="141" t="s">
        <v>25</v>
      </c>
      <c r="F1641" s="147">
        <f>F1642</f>
        <v>515</v>
      </c>
      <c r="G1641" s="147">
        <f>G1642</f>
        <v>510.57799999999997</v>
      </c>
      <c r="H1641" s="298">
        <f t="shared" si="423"/>
        <v>99.141359223300967</v>
      </c>
    </row>
    <row r="1642" spans="1:8" s="82" customFormat="1" ht="18.75" hidden="1" x14ac:dyDescent="0.2">
      <c r="A1642" s="28" t="s">
        <v>72</v>
      </c>
      <c r="B1642" s="2" t="s">
        <v>1013</v>
      </c>
      <c r="C1642" s="2" t="s">
        <v>1013</v>
      </c>
      <c r="D1642" s="2" t="s">
        <v>364</v>
      </c>
      <c r="E1642" s="2" t="s">
        <v>73</v>
      </c>
      <c r="F1642" s="10">
        <f>545-30</f>
        <v>515</v>
      </c>
      <c r="G1642" s="10">
        <v>510.57799999999997</v>
      </c>
      <c r="H1642" s="100">
        <f t="shared" si="423"/>
        <v>99.141359223300967</v>
      </c>
    </row>
    <row r="1643" spans="1:8" ht="18.75" x14ac:dyDescent="0.2">
      <c r="A1643" s="157" t="s">
        <v>19</v>
      </c>
      <c r="B1643" s="141" t="s">
        <v>1013</v>
      </c>
      <c r="C1643" s="141" t="s">
        <v>1013</v>
      </c>
      <c r="D1643" s="141" t="s">
        <v>364</v>
      </c>
      <c r="E1643" s="141" t="s">
        <v>21</v>
      </c>
      <c r="F1643" s="147">
        <f>F1644</f>
        <v>205</v>
      </c>
      <c r="G1643" s="147">
        <f>G1644</f>
        <v>204</v>
      </c>
      <c r="H1643" s="298">
        <f t="shared" si="423"/>
        <v>99.512195121951223</v>
      </c>
    </row>
    <row r="1644" spans="1:8" s="82" customFormat="1" ht="18.75" hidden="1" x14ac:dyDescent="0.2">
      <c r="A1644" s="28" t="s">
        <v>74</v>
      </c>
      <c r="B1644" s="2" t="s">
        <v>1013</v>
      </c>
      <c r="C1644" s="2" t="s">
        <v>1013</v>
      </c>
      <c r="D1644" s="2" t="s">
        <v>364</v>
      </c>
      <c r="E1644" s="2" t="s">
        <v>75</v>
      </c>
      <c r="F1644" s="10">
        <v>205</v>
      </c>
      <c r="G1644" s="10">
        <v>204</v>
      </c>
      <c r="H1644" s="100">
        <f t="shared" si="423"/>
        <v>99.512195121951223</v>
      </c>
    </row>
    <row r="1645" spans="1:8" ht="31.5" x14ac:dyDescent="0.2">
      <c r="A1645" s="157" t="s">
        <v>26</v>
      </c>
      <c r="B1645" s="141" t="s">
        <v>1013</v>
      </c>
      <c r="C1645" s="141" t="s">
        <v>1013</v>
      </c>
      <c r="D1645" s="141" t="s">
        <v>364</v>
      </c>
      <c r="E1645" s="141" t="s">
        <v>0</v>
      </c>
      <c r="F1645" s="147">
        <f>F1646</f>
        <v>485</v>
      </c>
      <c r="G1645" s="147">
        <f>G1646</f>
        <v>485</v>
      </c>
      <c r="H1645" s="298">
        <f t="shared" si="423"/>
        <v>100</v>
      </c>
    </row>
    <row r="1646" spans="1:8" s="82" customFormat="1" ht="31.5" hidden="1" x14ac:dyDescent="0.2">
      <c r="A1646" s="3" t="s">
        <v>875</v>
      </c>
      <c r="B1646" s="2" t="s">
        <v>1013</v>
      </c>
      <c r="C1646" s="2" t="s">
        <v>1013</v>
      </c>
      <c r="D1646" s="2" t="s">
        <v>364</v>
      </c>
      <c r="E1646" s="13" t="s">
        <v>472</v>
      </c>
      <c r="F1646" s="10">
        <v>485</v>
      </c>
      <c r="G1646" s="10">
        <v>485</v>
      </c>
      <c r="H1646" s="100">
        <f t="shared" si="423"/>
        <v>100</v>
      </c>
    </row>
    <row r="1647" spans="1:8" ht="18.75" x14ac:dyDescent="0.2">
      <c r="A1647" s="155" t="s">
        <v>338</v>
      </c>
      <c r="B1647" s="141" t="s">
        <v>1013</v>
      </c>
      <c r="C1647" s="141" t="s">
        <v>1013</v>
      </c>
      <c r="D1647" s="148" t="s">
        <v>365</v>
      </c>
      <c r="E1647" s="136"/>
      <c r="F1647" s="144">
        <f t="shared" ref="F1647:G1649" si="425">F1648</f>
        <v>22754</v>
      </c>
      <c r="G1647" s="144">
        <f t="shared" si="425"/>
        <v>22754</v>
      </c>
      <c r="H1647" s="298">
        <f t="shared" si="423"/>
        <v>100</v>
      </c>
    </row>
    <row r="1648" spans="1:8" ht="31.5" x14ac:dyDescent="0.2">
      <c r="A1648" s="157" t="s">
        <v>18</v>
      </c>
      <c r="B1648" s="141" t="s">
        <v>1013</v>
      </c>
      <c r="C1648" s="141" t="s">
        <v>1013</v>
      </c>
      <c r="D1648" s="141" t="s">
        <v>365</v>
      </c>
      <c r="E1648" s="141" t="s">
        <v>20</v>
      </c>
      <c r="F1648" s="147">
        <f t="shared" si="425"/>
        <v>22754</v>
      </c>
      <c r="G1648" s="147">
        <f t="shared" si="425"/>
        <v>22754</v>
      </c>
      <c r="H1648" s="298">
        <f t="shared" si="423"/>
        <v>100</v>
      </c>
    </row>
    <row r="1649" spans="1:8" ht="18.75" x14ac:dyDescent="0.2">
      <c r="A1649" s="157" t="s">
        <v>24</v>
      </c>
      <c r="B1649" s="141" t="s">
        <v>1013</v>
      </c>
      <c r="C1649" s="141" t="s">
        <v>1013</v>
      </c>
      <c r="D1649" s="141" t="s">
        <v>365</v>
      </c>
      <c r="E1649" s="141" t="s">
        <v>25</v>
      </c>
      <c r="F1649" s="147">
        <f t="shared" si="425"/>
        <v>22754</v>
      </c>
      <c r="G1649" s="147">
        <f t="shared" si="425"/>
        <v>22754</v>
      </c>
      <c r="H1649" s="298">
        <f t="shared" si="423"/>
        <v>100</v>
      </c>
    </row>
    <row r="1650" spans="1:8" s="82" customFormat="1" ht="47.25" hidden="1" x14ac:dyDescent="0.2">
      <c r="A1650" s="28" t="s">
        <v>88</v>
      </c>
      <c r="B1650" s="2" t="s">
        <v>1013</v>
      </c>
      <c r="C1650" s="2" t="s">
        <v>1013</v>
      </c>
      <c r="D1650" s="2" t="s">
        <v>365</v>
      </c>
      <c r="E1650" s="2" t="s">
        <v>89</v>
      </c>
      <c r="F1650" s="10">
        <f>22904-150</f>
        <v>22754</v>
      </c>
      <c r="G1650" s="10">
        <v>22754</v>
      </c>
      <c r="H1650" s="100">
        <f t="shared" si="423"/>
        <v>100</v>
      </c>
    </row>
    <row r="1651" spans="1:8" ht="31.5" x14ac:dyDescent="0.2">
      <c r="A1651" s="135" t="s">
        <v>1067</v>
      </c>
      <c r="B1651" s="136" t="s">
        <v>1013</v>
      </c>
      <c r="C1651" s="136" t="s">
        <v>1013</v>
      </c>
      <c r="D1651" s="137" t="s">
        <v>182</v>
      </c>
      <c r="E1651" s="136"/>
      <c r="F1651" s="138">
        <f>F1652</f>
        <v>55125</v>
      </c>
      <c r="G1651" s="138">
        <f>G1652</f>
        <v>54643.950219999999</v>
      </c>
      <c r="H1651" s="298">
        <f t="shared" si="423"/>
        <v>99.127347337868471</v>
      </c>
    </row>
    <row r="1652" spans="1:8" ht="31.5" x14ac:dyDescent="0.2">
      <c r="A1652" s="132" t="s">
        <v>189</v>
      </c>
      <c r="B1652" s="133" t="s">
        <v>1013</v>
      </c>
      <c r="C1652" s="133" t="s">
        <v>1013</v>
      </c>
      <c r="D1652" s="139" t="s">
        <v>183</v>
      </c>
      <c r="E1652" s="161"/>
      <c r="F1652" s="134">
        <f>F1653+F1665+F1669+F1673</f>
        <v>55125</v>
      </c>
      <c r="G1652" s="134">
        <f>G1653+G1665+G1669+G1673</f>
        <v>54643.950219999999</v>
      </c>
      <c r="H1652" s="298">
        <f t="shared" si="423"/>
        <v>99.127347337868471</v>
      </c>
    </row>
    <row r="1653" spans="1:8" ht="18.75" x14ac:dyDescent="0.2">
      <c r="A1653" s="155" t="s">
        <v>52</v>
      </c>
      <c r="B1653" s="148" t="s">
        <v>1013</v>
      </c>
      <c r="C1653" s="148" t="s">
        <v>1013</v>
      </c>
      <c r="D1653" s="148" t="s">
        <v>187</v>
      </c>
      <c r="E1653" s="148"/>
      <c r="F1653" s="144">
        <f>F1654+F1657+F1660</f>
        <v>3473</v>
      </c>
      <c r="G1653" s="144">
        <f>G1654+G1657+G1660</f>
        <v>3433.8495400000002</v>
      </c>
      <c r="H1653" s="298">
        <f t="shared" si="423"/>
        <v>98.872719262885127</v>
      </c>
    </row>
    <row r="1654" spans="1:8" ht="18.75" x14ac:dyDescent="0.2">
      <c r="A1654" s="162" t="s">
        <v>871</v>
      </c>
      <c r="B1654" s="141" t="s">
        <v>1013</v>
      </c>
      <c r="C1654" s="141" t="s">
        <v>1013</v>
      </c>
      <c r="D1654" s="141" t="s">
        <v>187</v>
      </c>
      <c r="E1654" s="174" t="s">
        <v>15</v>
      </c>
      <c r="F1654" s="147">
        <f t="shared" ref="F1654:G1655" si="426">F1655</f>
        <v>320</v>
      </c>
      <c r="G1654" s="147">
        <f t="shared" si="426"/>
        <v>281.66250000000002</v>
      </c>
      <c r="H1654" s="298">
        <f t="shared" si="423"/>
        <v>88.01953125</v>
      </c>
    </row>
    <row r="1655" spans="1:8" ht="31.5" x14ac:dyDescent="0.2">
      <c r="A1655" s="162" t="s">
        <v>17</v>
      </c>
      <c r="B1655" s="141" t="s">
        <v>1013</v>
      </c>
      <c r="C1655" s="141" t="s">
        <v>1013</v>
      </c>
      <c r="D1655" s="141" t="s">
        <v>187</v>
      </c>
      <c r="E1655" s="174" t="s">
        <v>16</v>
      </c>
      <c r="F1655" s="147">
        <f t="shared" si="426"/>
        <v>320</v>
      </c>
      <c r="G1655" s="147">
        <f t="shared" si="426"/>
        <v>281.66250000000002</v>
      </c>
      <c r="H1655" s="298">
        <f t="shared" si="423"/>
        <v>88.01953125</v>
      </c>
    </row>
    <row r="1656" spans="1:8" s="82" customFormat="1" ht="18.75" hidden="1" x14ac:dyDescent="0.2">
      <c r="A1656" s="3" t="s">
        <v>548</v>
      </c>
      <c r="B1656" s="2" t="s">
        <v>1013</v>
      </c>
      <c r="C1656" s="2" t="s">
        <v>1013</v>
      </c>
      <c r="D1656" s="2" t="s">
        <v>187</v>
      </c>
      <c r="E1656" s="56" t="s">
        <v>67</v>
      </c>
      <c r="F1656" s="10">
        <v>320</v>
      </c>
      <c r="G1656" s="10">
        <v>281.66250000000002</v>
      </c>
      <c r="H1656" s="100">
        <f t="shared" si="423"/>
        <v>88.01953125</v>
      </c>
    </row>
    <row r="1657" spans="1:8" ht="18.75" x14ac:dyDescent="0.2">
      <c r="A1657" s="162" t="s">
        <v>22</v>
      </c>
      <c r="B1657" s="141" t="s">
        <v>1013</v>
      </c>
      <c r="C1657" s="141" t="s">
        <v>1013</v>
      </c>
      <c r="D1657" s="141" t="s">
        <v>187</v>
      </c>
      <c r="E1657" s="151" t="s">
        <v>23</v>
      </c>
      <c r="F1657" s="147">
        <f t="shared" ref="F1657:G1658" si="427">F1658</f>
        <v>1318</v>
      </c>
      <c r="G1657" s="147">
        <f t="shared" si="427"/>
        <v>1317.9374800000001</v>
      </c>
      <c r="H1657" s="298">
        <f t="shared" si="423"/>
        <v>99.99525644916541</v>
      </c>
    </row>
    <row r="1658" spans="1:8" ht="31.5" x14ac:dyDescent="0.2">
      <c r="A1658" s="162" t="s">
        <v>108</v>
      </c>
      <c r="B1658" s="141" t="s">
        <v>1013</v>
      </c>
      <c r="C1658" s="141" t="s">
        <v>1013</v>
      </c>
      <c r="D1658" s="141" t="s">
        <v>187</v>
      </c>
      <c r="E1658" s="151" t="s">
        <v>126</v>
      </c>
      <c r="F1658" s="147">
        <f t="shared" si="427"/>
        <v>1318</v>
      </c>
      <c r="G1658" s="147">
        <f t="shared" si="427"/>
        <v>1317.9374800000001</v>
      </c>
      <c r="H1658" s="298">
        <f t="shared" si="423"/>
        <v>99.99525644916541</v>
      </c>
    </row>
    <row r="1659" spans="1:8" s="82" customFormat="1" ht="31.5" hidden="1" x14ac:dyDescent="0.2">
      <c r="A1659" s="27" t="s">
        <v>116</v>
      </c>
      <c r="B1659" s="2" t="s">
        <v>1013</v>
      </c>
      <c r="C1659" s="2" t="s">
        <v>1013</v>
      </c>
      <c r="D1659" s="2" t="s">
        <v>187</v>
      </c>
      <c r="E1659" s="2" t="s">
        <v>127</v>
      </c>
      <c r="F1659" s="10">
        <f>1820-502</f>
        <v>1318</v>
      </c>
      <c r="G1659" s="10">
        <v>1317.9374800000001</v>
      </c>
      <c r="H1659" s="100">
        <f t="shared" si="423"/>
        <v>99.99525644916541</v>
      </c>
    </row>
    <row r="1660" spans="1:8" ht="31.5" x14ac:dyDescent="0.2">
      <c r="A1660" s="157" t="s">
        <v>18</v>
      </c>
      <c r="B1660" s="141" t="s">
        <v>1013</v>
      </c>
      <c r="C1660" s="141" t="s">
        <v>1013</v>
      </c>
      <c r="D1660" s="141" t="s">
        <v>187</v>
      </c>
      <c r="E1660" s="141" t="s">
        <v>20</v>
      </c>
      <c r="F1660" s="147">
        <f>F1661+F1663</f>
        <v>1835</v>
      </c>
      <c r="G1660" s="147">
        <f>G1661+G1663</f>
        <v>1834.24956</v>
      </c>
      <c r="H1660" s="298">
        <f t="shared" si="423"/>
        <v>99.959104087193467</v>
      </c>
    </row>
    <row r="1661" spans="1:8" ht="18.75" x14ac:dyDescent="0.2">
      <c r="A1661" s="157" t="s">
        <v>24</v>
      </c>
      <c r="B1661" s="141" t="s">
        <v>1013</v>
      </c>
      <c r="C1661" s="141" t="s">
        <v>1013</v>
      </c>
      <c r="D1661" s="141" t="s">
        <v>187</v>
      </c>
      <c r="E1661" s="141" t="s">
        <v>25</v>
      </c>
      <c r="F1661" s="147">
        <f>F1662</f>
        <v>1235</v>
      </c>
      <c r="G1661" s="147">
        <f>G1662</f>
        <v>1234.24956</v>
      </c>
      <c r="H1661" s="298">
        <f t="shared" si="423"/>
        <v>99.939235627530365</v>
      </c>
    </row>
    <row r="1662" spans="1:8" s="82" customFormat="1" ht="18.75" hidden="1" x14ac:dyDescent="0.2">
      <c r="A1662" s="27" t="s">
        <v>72</v>
      </c>
      <c r="B1662" s="2" t="s">
        <v>1013</v>
      </c>
      <c r="C1662" s="2" t="s">
        <v>1013</v>
      </c>
      <c r="D1662" s="2" t="s">
        <v>187</v>
      </c>
      <c r="E1662" s="56" t="s">
        <v>73</v>
      </c>
      <c r="F1662" s="62">
        <f>28146-26911</f>
        <v>1235</v>
      </c>
      <c r="G1662" s="10">
        <v>1234.24956</v>
      </c>
      <c r="H1662" s="100">
        <f t="shared" si="423"/>
        <v>99.939235627530365</v>
      </c>
    </row>
    <row r="1663" spans="1:8" ht="31.5" x14ac:dyDescent="0.2">
      <c r="A1663" s="157" t="s">
        <v>55</v>
      </c>
      <c r="B1663" s="141" t="s">
        <v>1013</v>
      </c>
      <c r="C1663" s="141" t="s">
        <v>1013</v>
      </c>
      <c r="D1663" s="141" t="s">
        <v>187</v>
      </c>
      <c r="E1663" s="141" t="s">
        <v>0</v>
      </c>
      <c r="F1663" s="147">
        <f>F1664</f>
        <v>600</v>
      </c>
      <c r="G1663" s="147">
        <f>G1664</f>
        <v>600</v>
      </c>
      <c r="H1663" s="298">
        <f t="shared" si="423"/>
        <v>100</v>
      </c>
    </row>
    <row r="1664" spans="1:8" s="82" customFormat="1" ht="31.5" hidden="1" x14ac:dyDescent="0.2">
      <c r="A1664" s="3" t="s">
        <v>875</v>
      </c>
      <c r="B1664" s="2" t="s">
        <v>1013</v>
      </c>
      <c r="C1664" s="2" t="s">
        <v>1013</v>
      </c>
      <c r="D1664" s="2" t="s">
        <v>187</v>
      </c>
      <c r="E1664" s="56" t="s">
        <v>472</v>
      </c>
      <c r="F1664" s="84">
        <v>600</v>
      </c>
      <c r="G1664" s="10">
        <v>600</v>
      </c>
      <c r="H1664" s="100">
        <f t="shared" si="423"/>
        <v>100</v>
      </c>
    </row>
    <row r="1665" spans="1:9" ht="18.75" x14ac:dyDescent="0.2">
      <c r="A1665" s="155" t="s">
        <v>53</v>
      </c>
      <c r="B1665" s="148" t="s">
        <v>1013</v>
      </c>
      <c r="C1665" s="148" t="s">
        <v>1013</v>
      </c>
      <c r="D1665" s="148" t="s">
        <v>190</v>
      </c>
      <c r="E1665" s="148"/>
      <c r="F1665" s="144">
        <f>F1666</f>
        <v>10814</v>
      </c>
      <c r="G1665" s="144">
        <f t="shared" ref="G1665" si="428">G1666</f>
        <v>10812.77577</v>
      </c>
      <c r="H1665" s="298">
        <f t="shared" si="423"/>
        <v>99.988679212132425</v>
      </c>
    </row>
    <row r="1666" spans="1:9" ht="31.5" x14ac:dyDescent="0.2">
      <c r="A1666" s="157" t="s">
        <v>18</v>
      </c>
      <c r="B1666" s="141" t="s">
        <v>1013</v>
      </c>
      <c r="C1666" s="141" t="s">
        <v>1013</v>
      </c>
      <c r="D1666" s="141" t="s">
        <v>190</v>
      </c>
      <c r="E1666" s="141" t="s">
        <v>20</v>
      </c>
      <c r="F1666" s="147">
        <f t="shared" ref="F1666:G1667" si="429">F1667</f>
        <v>10814</v>
      </c>
      <c r="G1666" s="147">
        <f t="shared" si="429"/>
        <v>10812.77577</v>
      </c>
      <c r="H1666" s="298">
        <f t="shared" si="423"/>
        <v>99.988679212132425</v>
      </c>
    </row>
    <row r="1667" spans="1:9" ht="18.75" x14ac:dyDescent="0.2">
      <c r="A1667" s="157" t="s">
        <v>24</v>
      </c>
      <c r="B1667" s="141" t="s">
        <v>1013</v>
      </c>
      <c r="C1667" s="141" t="s">
        <v>1013</v>
      </c>
      <c r="D1667" s="141" t="s">
        <v>190</v>
      </c>
      <c r="E1667" s="141" t="s">
        <v>25</v>
      </c>
      <c r="F1667" s="147">
        <f t="shared" si="429"/>
        <v>10814</v>
      </c>
      <c r="G1667" s="147">
        <f t="shared" si="429"/>
        <v>10812.77577</v>
      </c>
      <c r="H1667" s="298">
        <f t="shared" si="423"/>
        <v>99.988679212132425</v>
      </c>
    </row>
    <row r="1668" spans="1:9" s="82" customFormat="1" ht="18.75" hidden="1" x14ac:dyDescent="0.2">
      <c r="A1668" s="27" t="s">
        <v>72</v>
      </c>
      <c r="B1668" s="2" t="s">
        <v>1013</v>
      </c>
      <c r="C1668" s="2" t="s">
        <v>1013</v>
      </c>
      <c r="D1668" s="2" t="s">
        <v>190</v>
      </c>
      <c r="E1668" s="56" t="s">
        <v>73</v>
      </c>
      <c r="F1668" s="10">
        <v>10814</v>
      </c>
      <c r="G1668" s="10">
        <v>10812.77577</v>
      </c>
      <c r="H1668" s="100">
        <f t="shared" si="423"/>
        <v>99.988679212132425</v>
      </c>
    </row>
    <row r="1669" spans="1:9" ht="18.75" x14ac:dyDescent="0.2">
      <c r="A1669" s="155" t="s">
        <v>48</v>
      </c>
      <c r="B1669" s="148" t="s">
        <v>1013</v>
      </c>
      <c r="C1669" s="148" t="s">
        <v>1013</v>
      </c>
      <c r="D1669" s="148" t="s">
        <v>188</v>
      </c>
      <c r="E1669" s="148"/>
      <c r="F1669" s="144">
        <f t="shared" ref="F1669:G1671" si="430">F1670</f>
        <v>642</v>
      </c>
      <c r="G1669" s="144">
        <f t="shared" si="430"/>
        <v>618.83082000000002</v>
      </c>
      <c r="H1669" s="298">
        <f t="shared" si="423"/>
        <v>96.391093457943938</v>
      </c>
    </row>
    <row r="1670" spans="1:9" ht="31.5" x14ac:dyDescent="0.2">
      <c r="A1670" s="162" t="s">
        <v>18</v>
      </c>
      <c r="B1670" s="141" t="s">
        <v>1013</v>
      </c>
      <c r="C1670" s="141" t="s">
        <v>1013</v>
      </c>
      <c r="D1670" s="141" t="s">
        <v>188</v>
      </c>
      <c r="E1670" s="172" t="s">
        <v>20</v>
      </c>
      <c r="F1670" s="147">
        <f t="shared" si="430"/>
        <v>642</v>
      </c>
      <c r="G1670" s="147">
        <f t="shared" si="430"/>
        <v>618.83082000000002</v>
      </c>
      <c r="H1670" s="298">
        <f t="shared" si="423"/>
        <v>96.391093457943938</v>
      </c>
    </row>
    <row r="1671" spans="1:9" ht="18.75" x14ac:dyDescent="0.2">
      <c r="A1671" s="162" t="s">
        <v>24</v>
      </c>
      <c r="B1671" s="141" t="s">
        <v>1013</v>
      </c>
      <c r="C1671" s="141" t="s">
        <v>1013</v>
      </c>
      <c r="D1671" s="141" t="s">
        <v>188</v>
      </c>
      <c r="E1671" s="172" t="s">
        <v>25</v>
      </c>
      <c r="F1671" s="147">
        <f t="shared" si="430"/>
        <v>642</v>
      </c>
      <c r="G1671" s="147">
        <f t="shared" si="430"/>
        <v>618.83082000000002</v>
      </c>
      <c r="H1671" s="298">
        <f t="shared" si="423"/>
        <v>96.391093457943938</v>
      </c>
    </row>
    <row r="1672" spans="1:9" s="82" customFormat="1" ht="18.75" hidden="1" x14ac:dyDescent="0.2">
      <c r="A1672" s="27" t="s">
        <v>72</v>
      </c>
      <c r="B1672" s="2" t="s">
        <v>1013</v>
      </c>
      <c r="C1672" s="2" t="s">
        <v>1013</v>
      </c>
      <c r="D1672" s="2" t="s">
        <v>188</v>
      </c>
      <c r="E1672" s="56" t="s">
        <v>73</v>
      </c>
      <c r="F1672" s="10">
        <f>864-222</f>
        <v>642</v>
      </c>
      <c r="G1672" s="10">
        <v>618.83082000000002</v>
      </c>
      <c r="H1672" s="100">
        <f t="shared" si="423"/>
        <v>96.391093457943938</v>
      </c>
    </row>
    <row r="1673" spans="1:9" ht="31.5" x14ac:dyDescent="0.25">
      <c r="A1673" s="187" t="s">
        <v>855</v>
      </c>
      <c r="B1673" s="148" t="s">
        <v>1013</v>
      </c>
      <c r="C1673" s="148" t="s">
        <v>1013</v>
      </c>
      <c r="D1673" s="226" t="s">
        <v>856</v>
      </c>
      <c r="E1673" s="299"/>
      <c r="F1673" s="183">
        <f>F1674+F1677</f>
        <v>40196</v>
      </c>
      <c r="G1673" s="183">
        <f>G1674+G1677</f>
        <v>39778.49409</v>
      </c>
      <c r="H1673" s="298">
        <f t="shared" si="423"/>
        <v>98.961324733804361</v>
      </c>
    </row>
    <row r="1674" spans="1:9" ht="18.75" x14ac:dyDescent="0.25">
      <c r="A1674" s="145" t="s">
        <v>871</v>
      </c>
      <c r="B1674" s="141" t="s">
        <v>1013</v>
      </c>
      <c r="C1674" s="141" t="s">
        <v>1013</v>
      </c>
      <c r="D1674" s="228" t="s">
        <v>856</v>
      </c>
      <c r="E1674" s="300" t="s">
        <v>15</v>
      </c>
      <c r="F1674" s="160">
        <f t="shared" ref="F1674:G1675" si="431">F1675</f>
        <v>7487.1216000000004</v>
      </c>
      <c r="G1674" s="160">
        <f t="shared" si="431"/>
        <v>7487.1216000000004</v>
      </c>
      <c r="H1674" s="298">
        <f t="shared" si="423"/>
        <v>100</v>
      </c>
    </row>
    <row r="1675" spans="1:9" ht="31.5" x14ac:dyDescent="0.25">
      <c r="A1675" s="181" t="s">
        <v>17</v>
      </c>
      <c r="B1675" s="141" t="s">
        <v>1013</v>
      </c>
      <c r="C1675" s="141" t="s">
        <v>1013</v>
      </c>
      <c r="D1675" s="228" t="s">
        <v>856</v>
      </c>
      <c r="E1675" s="300" t="s">
        <v>16</v>
      </c>
      <c r="F1675" s="160">
        <f t="shared" si="431"/>
        <v>7487.1216000000004</v>
      </c>
      <c r="G1675" s="160">
        <f t="shared" si="431"/>
        <v>7487.1216000000004</v>
      </c>
      <c r="H1675" s="298">
        <f t="shared" si="423"/>
        <v>100</v>
      </c>
    </row>
    <row r="1676" spans="1:9" s="82" customFormat="1" ht="18.75" hidden="1" x14ac:dyDescent="0.25">
      <c r="A1676" s="8" t="s">
        <v>548</v>
      </c>
      <c r="B1676" s="2" t="s">
        <v>1013</v>
      </c>
      <c r="C1676" s="2" t="s">
        <v>1013</v>
      </c>
      <c r="D1676" s="17" t="s">
        <v>856</v>
      </c>
      <c r="E1676" s="15" t="s">
        <v>67</v>
      </c>
      <c r="F1676" s="62">
        <f>7540-52.8784</f>
        <v>7487.1216000000004</v>
      </c>
      <c r="G1676" s="62">
        <v>7487.1216000000004</v>
      </c>
      <c r="H1676" s="100">
        <f t="shared" si="423"/>
        <v>100</v>
      </c>
    </row>
    <row r="1677" spans="1:9" ht="31.5" x14ac:dyDescent="0.25">
      <c r="A1677" s="181" t="s">
        <v>18</v>
      </c>
      <c r="B1677" s="141" t="s">
        <v>1013</v>
      </c>
      <c r="C1677" s="141" t="s">
        <v>1013</v>
      </c>
      <c r="D1677" s="228" t="s">
        <v>856</v>
      </c>
      <c r="E1677" s="300" t="s">
        <v>20</v>
      </c>
      <c r="F1677" s="160">
        <f t="shared" ref="F1677:G1678" si="432">F1678</f>
        <v>32708.878400000001</v>
      </c>
      <c r="G1677" s="160">
        <f t="shared" si="432"/>
        <v>32291.372490000002</v>
      </c>
      <c r="H1677" s="298">
        <f t="shared" si="423"/>
        <v>98.723570081204613</v>
      </c>
    </row>
    <row r="1678" spans="1:9" ht="18.75" x14ac:dyDescent="0.25">
      <c r="A1678" s="181" t="s">
        <v>24</v>
      </c>
      <c r="B1678" s="141" t="s">
        <v>1013</v>
      </c>
      <c r="C1678" s="141" t="s">
        <v>1013</v>
      </c>
      <c r="D1678" s="228" t="s">
        <v>856</v>
      </c>
      <c r="E1678" s="300" t="s">
        <v>25</v>
      </c>
      <c r="F1678" s="160">
        <f t="shared" si="432"/>
        <v>32708.878400000001</v>
      </c>
      <c r="G1678" s="160">
        <f t="shared" si="432"/>
        <v>32291.372490000002</v>
      </c>
      <c r="H1678" s="298">
        <f t="shared" si="423"/>
        <v>98.723570081204613</v>
      </c>
    </row>
    <row r="1679" spans="1:9" s="82" customFormat="1" ht="18.75" hidden="1" x14ac:dyDescent="0.25">
      <c r="A1679" s="20" t="s">
        <v>72</v>
      </c>
      <c r="B1679" s="2" t="s">
        <v>1013</v>
      </c>
      <c r="C1679" s="2" t="s">
        <v>1013</v>
      </c>
      <c r="D1679" s="17" t="s">
        <v>856</v>
      </c>
      <c r="E1679" s="15" t="s">
        <v>73</v>
      </c>
      <c r="F1679" s="62">
        <f>5021+26911+52.8784+222+502</f>
        <v>32708.878400000001</v>
      </c>
      <c r="G1679" s="62">
        <v>32291.372490000002</v>
      </c>
      <c r="H1679" s="100">
        <f t="shared" si="423"/>
        <v>98.723570081204613</v>
      </c>
    </row>
    <row r="1680" spans="1:9" ht="18.75" x14ac:dyDescent="0.2">
      <c r="A1680" s="132" t="s">
        <v>1068</v>
      </c>
      <c r="B1680" s="133" t="s">
        <v>1013</v>
      </c>
      <c r="C1680" s="133" t="s">
        <v>1032</v>
      </c>
      <c r="D1680" s="133" t="s">
        <v>1061</v>
      </c>
      <c r="E1680" s="133"/>
      <c r="F1680" s="134">
        <f>F1681+F1741</f>
        <v>75629</v>
      </c>
      <c r="G1680" s="134">
        <f>G1681+G1741</f>
        <v>74788.848050000001</v>
      </c>
      <c r="H1680" s="131">
        <f t="shared" si="423"/>
        <v>98.88911403033228</v>
      </c>
      <c r="I1680" s="96"/>
    </row>
    <row r="1681" spans="1:8" ht="18.75" x14ac:dyDescent="0.2">
      <c r="A1681" s="132" t="s">
        <v>1000</v>
      </c>
      <c r="B1681" s="133" t="s">
        <v>1013</v>
      </c>
      <c r="C1681" s="133" t="s">
        <v>1032</v>
      </c>
      <c r="D1681" s="133" t="s">
        <v>214</v>
      </c>
      <c r="E1681" s="133"/>
      <c r="F1681" s="134">
        <f>F1682+F1696+F1709</f>
        <v>75436</v>
      </c>
      <c r="G1681" s="134">
        <f>G1682+G1696+G1709</f>
        <v>74596.248089999994</v>
      </c>
      <c r="H1681" s="131">
        <f t="shared" si="423"/>
        <v>98.886802176679552</v>
      </c>
    </row>
    <row r="1682" spans="1:8" ht="18.75" x14ac:dyDescent="0.2">
      <c r="A1682" s="135" t="s">
        <v>94</v>
      </c>
      <c r="B1682" s="136" t="s">
        <v>1013</v>
      </c>
      <c r="C1682" s="136" t="s">
        <v>1032</v>
      </c>
      <c r="D1682" s="136" t="s">
        <v>250</v>
      </c>
      <c r="E1682" s="136"/>
      <c r="F1682" s="138">
        <f t="shared" ref="F1682:G1682" si="433">F1683</f>
        <v>20900</v>
      </c>
      <c r="G1682" s="138">
        <f t="shared" si="433"/>
        <v>20829.800999999999</v>
      </c>
      <c r="H1682" s="131">
        <f t="shared" si="423"/>
        <v>99.664119617224884</v>
      </c>
    </row>
    <row r="1683" spans="1:8" ht="31.5" x14ac:dyDescent="0.2">
      <c r="A1683" s="154" t="s">
        <v>677</v>
      </c>
      <c r="B1683" s="136" t="s">
        <v>1013</v>
      </c>
      <c r="C1683" s="136" t="s">
        <v>1032</v>
      </c>
      <c r="D1683" s="139" t="s">
        <v>678</v>
      </c>
      <c r="E1683" s="161"/>
      <c r="F1683" s="222">
        <f>F1684</f>
        <v>20900</v>
      </c>
      <c r="G1683" s="222">
        <f>G1684</f>
        <v>20829.800999999999</v>
      </c>
      <c r="H1683" s="131">
        <f t="shared" si="423"/>
        <v>99.664119617224884</v>
      </c>
    </row>
    <row r="1684" spans="1:8" ht="18.75" x14ac:dyDescent="0.2">
      <c r="A1684" s="155" t="s">
        <v>95</v>
      </c>
      <c r="B1684" s="148" t="s">
        <v>1013</v>
      </c>
      <c r="C1684" s="148" t="s">
        <v>1032</v>
      </c>
      <c r="D1684" s="142" t="s">
        <v>679</v>
      </c>
      <c r="E1684" s="148"/>
      <c r="F1684" s="267">
        <f>F1685+F1692</f>
        <v>20900</v>
      </c>
      <c r="G1684" s="156">
        <f t="shared" ref="G1684" si="434">G1685+G1692</f>
        <v>20829.800999999999</v>
      </c>
      <c r="H1684" s="131">
        <f t="shared" si="423"/>
        <v>99.664119617224884</v>
      </c>
    </row>
    <row r="1685" spans="1:8" ht="18.75" x14ac:dyDescent="0.2">
      <c r="A1685" s="155" t="s">
        <v>98</v>
      </c>
      <c r="B1685" s="148" t="s">
        <v>1013</v>
      </c>
      <c r="C1685" s="148" t="s">
        <v>1032</v>
      </c>
      <c r="D1685" s="142" t="s">
        <v>680</v>
      </c>
      <c r="E1685" s="148"/>
      <c r="F1685" s="267">
        <f>F1686+F1689</f>
        <v>300</v>
      </c>
      <c r="G1685" s="156">
        <f t="shared" ref="G1685" si="435">G1686+G1689</f>
        <v>296.25</v>
      </c>
      <c r="H1685" s="131">
        <f t="shared" si="423"/>
        <v>98.75</v>
      </c>
    </row>
    <row r="1686" spans="1:8" ht="18.75" x14ac:dyDescent="0.2">
      <c r="A1686" s="145" t="s">
        <v>871</v>
      </c>
      <c r="B1686" s="141" t="s">
        <v>1013</v>
      </c>
      <c r="C1686" s="141" t="s">
        <v>1032</v>
      </c>
      <c r="D1686" s="268" t="s">
        <v>680</v>
      </c>
      <c r="E1686" s="151" t="s">
        <v>15</v>
      </c>
      <c r="F1686" s="269">
        <f t="shared" ref="F1686:G1687" si="436">F1687</f>
        <v>200</v>
      </c>
      <c r="G1686" s="269">
        <f t="shared" si="436"/>
        <v>196.25</v>
      </c>
      <c r="H1686" s="131">
        <f t="shared" si="423"/>
        <v>98.125</v>
      </c>
    </row>
    <row r="1687" spans="1:8" ht="31.5" x14ac:dyDescent="0.2">
      <c r="A1687" s="162" t="s">
        <v>17</v>
      </c>
      <c r="B1687" s="141" t="s">
        <v>1013</v>
      </c>
      <c r="C1687" s="141" t="s">
        <v>1032</v>
      </c>
      <c r="D1687" s="268" t="s">
        <v>680</v>
      </c>
      <c r="E1687" s="151" t="s">
        <v>16</v>
      </c>
      <c r="F1687" s="269">
        <f t="shared" si="436"/>
        <v>200</v>
      </c>
      <c r="G1687" s="269">
        <f t="shared" si="436"/>
        <v>196.25</v>
      </c>
      <c r="H1687" s="131">
        <f t="shared" si="423"/>
        <v>98.125</v>
      </c>
    </row>
    <row r="1688" spans="1:8" s="82" customFormat="1" ht="18.75" hidden="1" x14ac:dyDescent="0.2">
      <c r="A1688" s="28" t="s">
        <v>548</v>
      </c>
      <c r="B1688" s="2" t="s">
        <v>1013</v>
      </c>
      <c r="C1688" s="2" t="s">
        <v>1032</v>
      </c>
      <c r="D1688" s="22" t="s">
        <v>680</v>
      </c>
      <c r="E1688" s="2" t="s">
        <v>67</v>
      </c>
      <c r="F1688" s="6">
        <v>200</v>
      </c>
      <c r="G1688" s="6">
        <v>196.25</v>
      </c>
      <c r="H1688" s="97">
        <f t="shared" si="423"/>
        <v>98.125</v>
      </c>
    </row>
    <row r="1689" spans="1:8" ht="31.5" x14ac:dyDescent="0.2">
      <c r="A1689" s="162" t="s">
        <v>18</v>
      </c>
      <c r="B1689" s="141" t="s">
        <v>1013</v>
      </c>
      <c r="C1689" s="141" t="s">
        <v>1032</v>
      </c>
      <c r="D1689" s="268" t="s">
        <v>680</v>
      </c>
      <c r="E1689" s="151" t="s">
        <v>20</v>
      </c>
      <c r="F1689" s="269">
        <f t="shared" ref="F1689:G1690" si="437">F1690</f>
        <v>100</v>
      </c>
      <c r="G1689" s="158">
        <f t="shared" si="437"/>
        <v>100</v>
      </c>
      <c r="H1689" s="131">
        <f t="shared" si="423"/>
        <v>100</v>
      </c>
    </row>
    <row r="1690" spans="1:8" ht="18.75" x14ac:dyDescent="0.2">
      <c r="A1690" s="162" t="s">
        <v>24</v>
      </c>
      <c r="B1690" s="141" t="s">
        <v>1013</v>
      </c>
      <c r="C1690" s="141" t="s">
        <v>1032</v>
      </c>
      <c r="D1690" s="268" t="s">
        <v>680</v>
      </c>
      <c r="E1690" s="151" t="s">
        <v>25</v>
      </c>
      <c r="F1690" s="269">
        <f t="shared" si="437"/>
        <v>100</v>
      </c>
      <c r="G1690" s="158">
        <f t="shared" si="437"/>
        <v>100</v>
      </c>
      <c r="H1690" s="131">
        <f t="shared" si="423"/>
        <v>100</v>
      </c>
    </row>
    <row r="1691" spans="1:8" s="82" customFormat="1" ht="18.75" hidden="1" x14ac:dyDescent="0.2">
      <c r="A1691" s="27" t="s">
        <v>72</v>
      </c>
      <c r="B1691" s="2" t="s">
        <v>1013</v>
      </c>
      <c r="C1691" s="2" t="s">
        <v>1032</v>
      </c>
      <c r="D1691" s="22" t="s">
        <v>680</v>
      </c>
      <c r="E1691" s="5" t="s">
        <v>73</v>
      </c>
      <c r="F1691" s="6">
        <v>100</v>
      </c>
      <c r="G1691" s="14">
        <v>100</v>
      </c>
      <c r="H1691" s="97">
        <f t="shared" si="423"/>
        <v>100</v>
      </c>
    </row>
    <row r="1692" spans="1:8" ht="31.5" x14ac:dyDescent="0.2">
      <c r="A1692" s="157" t="s">
        <v>306</v>
      </c>
      <c r="B1692" s="141" t="s">
        <v>1013</v>
      </c>
      <c r="C1692" s="141" t="s">
        <v>1032</v>
      </c>
      <c r="D1692" s="146" t="s">
        <v>681</v>
      </c>
      <c r="E1692" s="141"/>
      <c r="F1692" s="158">
        <f t="shared" ref="F1692:G1694" si="438">F1693</f>
        <v>20600</v>
      </c>
      <c r="G1692" s="158">
        <f t="shared" si="438"/>
        <v>20533.550999999999</v>
      </c>
      <c r="H1692" s="131">
        <f t="shared" si="423"/>
        <v>99.677432038834951</v>
      </c>
    </row>
    <row r="1693" spans="1:8" ht="18.75" x14ac:dyDescent="0.2">
      <c r="A1693" s="162" t="s">
        <v>22</v>
      </c>
      <c r="B1693" s="141" t="s">
        <v>1013</v>
      </c>
      <c r="C1693" s="141" t="s">
        <v>1032</v>
      </c>
      <c r="D1693" s="268" t="s">
        <v>681</v>
      </c>
      <c r="E1693" s="141" t="s">
        <v>23</v>
      </c>
      <c r="F1693" s="269">
        <f t="shared" si="438"/>
        <v>20600</v>
      </c>
      <c r="G1693" s="158">
        <f t="shared" si="438"/>
        <v>20533.550999999999</v>
      </c>
      <c r="H1693" s="131">
        <f t="shared" si="423"/>
        <v>99.677432038834951</v>
      </c>
    </row>
    <row r="1694" spans="1:8" ht="31.5" x14ac:dyDescent="0.2">
      <c r="A1694" s="162" t="s">
        <v>108</v>
      </c>
      <c r="B1694" s="141" t="s">
        <v>1013</v>
      </c>
      <c r="C1694" s="141" t="s">
        <v>1032</v>
      </c>
      <c r="D1694" s="268" t="s">
        <v>681</v>
      </c>
      <c r="E1694" s="141" t="s">
        <v>126</v>
      </c>
      <c r="F1694" s="269">
        <f t="shared" si="438"/>
        <v>20600</v>
      </c>
      <c r="G1694" s="158">
        <f t="shared" si="438"/>
        <v>20533.550999999999</v>
      </c>
      <c r="H1694" s="131">
        <f t="shared" si="423"/>
        <v>99.677432038834951</v>
      </c>
    </row>
    <row r="1695" spans="1:8" s="82" customFormat="1" ht="31.5" hidden="1" x14ac:dyDescent="0.2">
      <c r="A1695" s="3" t="s">
        <v>305</v>
      </c>
      <c r="B1695" s="2" t="s">
        <v>1013</v>
      </c>
      <c r="C1695" s="2" t="s">
        <v>1032</v>
      </c>
      <c r="D1695" s="22" t="s">
        <v>681</v>
      </c>
      <c r="E1695" s="2" t="s">
        <v>127</v>
      </c>
      <c r="F1695" s="6">
        <f>22464-1450-414</f>
        <v>20600</v>
      </c>
      <c r="G1695" s="14">
        <v>20533.550999999999</v>
      </c>
      <c r="H1695" s="97">
        <f t="shared" si="423"/>
        <v>99.677432038834951</v>
      </c>
    </row>
    <row r="1696" spans="1:8" ht="31.5" x14ac:dyDescent="0.2">
      <c r="A1696" s="135" t="s">
        <v>100</v>
      </c>
      <c r="B1696" s="136" t="s">
        <v>1013</v>
      </c>
      <c r="C1696" s="136" t="s">
        <v>1032</v>
      </c>
      <c r="D1696" s="137" t="s">
        <v>233</v>
      </c>
      <c r="E1696" s="136"/>
      <c r="F1696" s="138">
        <f>F1697+F1703</f>
        <v>470</v>
      </c>
      <c r="G1696" s="138">
        <f t="shared" ref="G1696" si="439">G1697+G1703</f>
        <v>448.98750000000001</v>
      </c>
      <c r="H1696" s="131">
        <f t="shared" si="423"/>
        <v>95.529255319148945</v>
      </c>
    </row>
    <row r="1697" spans="1:8" ht="47.25" x14ac:dyDescent="0.2">
      <c r="A1697" s="154" t="s">
        <v>682</v>
      </c>
      <c r="B1697" s="133" t="s">
        <v>1013</v>
      </c>
      <c r="C1697" s="133" t="s">
        <v>1032</v>
      </c>
      <c r="D1697" s="139" t="s">
        <v>234</v>
      </c>
      <c r="E1697" s="161"/>
      <c r="F1697" s="222">
        <f>F1698</f>
        <v>200</v>
      </c>
      <c r="G1697" s="222">
        <f t="shared" ref="G1697:G1701" si="440">G1698</f>
        <v>193.23750000000001</v>
      </c>
      <c r="H1697" s="131">
        <f t="shared" si="423"/>
        <v>96.618750000000006</v>
      </c>
    </row>
    <row r="1698" spans="1:8" ht="18.75" x14ac:dyDescent="0.2">
      <c r="A1698" s="175" t="s">
        <v>101</v>
      </c>
      <c r="B1698" s="136" t="s">
        <v>1013</v>
      </c>
      <c r="C1698" s="136" t="s">
        <v>1032</v>
      </c>
      <c r="D1698" s="137" t="s">
        <v>235</v>
      </c>
      <c r="E1698" s="136"/>
      <c r="F1698" s="266">
        <f>F1699</f>
        <v>200</v>
      </c>
      <c r="G1698" s="266">
        <f t="shared" si="440"/>
        <v>193.23750000000001</v>
      </c>
      <c r="H1698" s="131">
        <f t="shared" si="423"/>
        <v>96.618750000000006</v>
      </c>
    </row>
    <row r="1699" spans="1:8" ht="18.75" x14ac:dyDescent="0.2">
      <c r="A1699" s="155" t="s">
        <v>102</v>
      </c>
      <c r="B1699" s="148" t="s">
        <v>1013</v>
      </c>
      <c r="C1699" s="148" t="s">
        <v>1032</v>
      </c>
      <c r="D1699" s="142" t="s">
        <v>236</v>
      </c>
      <c r="E1699" s="148"/>
      <c r="F1699" s="267">
        <f>F1700</f>
        <v>200</v>
      </c>
      <c r="G1699" s="156">
        <f t="shared" si="440"/>
        <v>193.23750000000001</v>
      </c>
      <c r="H1699" s="131">
        <f t="shared" ref="H1699:H1758" si="441">G1699/F1699*100</f>
        <v>96.618750000000006</v>
      </c>
    </row>
    <row r="1700" spans="1:8" ht="18.75" x14ac:dyDescent="0.2">
      <c r="A1700" s="145" t="s">
        <v>871</v>
      </c>
      <c r="B1700" s="141" t="s">
        <v>1013</v>
      </c>
      <c r="C1700" s="141" t="s">
        <v>1032</v>
      </c>
      <c r="D1700" s="268" t="s">
        <v>236</v>
      </c>
      <c r="E1700" s="151" t="s">
        <v>15</v>
      </c>
      <c r="F1700" s="269">
        <f>F1701</f>
        <v>200</v>
      </c>
      <c r="G1700" s="158">
        <f t="shared" si="440"/>
        <v>193.23750000000001</v>
      </c>
      <c r="H1700" s="131">
        <f t="shared" si="441"/>
        <v>96.618750000000006</v>
      </c>
    </row>
    <row r="1701" spans="1:8" ht="31.5" x14ac:dyDescent="0.2">
      <c r="A1701" s="162" t="s">
        <v>17</v>
      </c>
      <c r="B1701" s="141" t="s">
        <v>1013</v>
      </c>
      <c r="C1701" s="141" t="s">
        <v>1032</v>
      </c>
      <c r="D1701" s="268" t="s">
        <v>236</v>
      </c>
      <c r="E1701" s="151" t="s">
        <v>16</v>
      </c>
      <c r="F1701" s="269">
        <f>F1702</f>
        <v>200</v>
      </c>
      <c r="G1701" s="158">
        <f t="shared" si="440"/>
        <v>193.23750000000001</v>
      </c>
      <c r="H1701" s="131">
        <f t="shared" si="441"/>
        <v>96.618750000000006</v>
      </c>
    </row>
    <row r="1702" spans="1:8" s="82" customFormat="1" ht="18.75" hidden="1" x14ac:dyDescent="0.2">
      <c r="A1702" s="28" t="s">
        <v>548</v>
      </c>
      <c r="B1702" s="2" t="s">
        <v>1013</v>
      </c>
      <c r="C1702" s="2" t="s">
        <v>1032</v>
      </c>
      <c r="D1702" s="22" t="s">
        <v>236</v>
      </c>
      <c r="E1702" s="2" t="s">
        <v>67</v>
      </c>
      <c r="F1702" s="6">
        <v>200</v>
      </c>
      <c r="G1702" s="14">
        <v>193.23750000000001</v>
      </c>
      <c r="H1702" s="97">
        <f t="shared" si="441"/>
        <v>96.618750000000006</v>
      </c>
    </row>
    <row r="1703" spans="1:8" ht="47.25" x14ac:dyDescent="0.2">
      <c r="A1703" s="154" t="s">
        <v>691</v>
      </c>
      <c r="B1703" s="133" t="s">
        <v>1013</v>
      </c>
      <c r="C1703" s="133" t="s">
        <v>1032</v>
      </c>
      <c r="D1703" s="139" t="s">
        <v>692</v>
      </c>
      <c r="E1703" s="161"/>
      <c r="F1703" s="222">
        <f>F1704</f>
        <v>270</v>
      </c>
      <c r="G1703" s="222">
        <f t="shared" ref="G1703:G1705" si="442">G1704</f>
        <v>255.75</v>
      </c>
      <c r="H1703" s="131">
        <f t="shared" si="441"/>
        <v>94.722222222222214</v>
      </c>
    </row>
    <row r="1704" spans="1:8" ht="18.75" x14ac:dyDescent="0.2">
      <c r="A1704" s="175" t="s">
        <v>101</v>
      </c>
      <c r="B1704" s="136" t="s">
        <v>1013</v>
      </c>
      <c r="C1704" s="136" t="s">
        <v>1032</v>
      </c>
      <c r="D1704" s="137" t="s">
        <v>693</v>
      </c>
      <c r="E1704" s="136"/>
      <c r="F1704" s="266">
        <f>F1705</f>
        <v>270</v>
      </c>
      <c r="G1704" s="266">
        <f t="shared" si="442"/>
        <v>255.75</v>
      </c>
      <c r="H1704" s="131">
        <f t="shared" si="441"/>
        <v>94.722222222222214</v>
      </c>
    </row>
    <row r="1705" spans="1:8" ht="18.75" x14ac:dyDescent="0.2">
      <c r="A1705" s="155" t="s">
        <v>102</v>
      </c>
      <c r="B1705" s="141" t="s">
        <v>1013</v>
      </c>
      <c r="C1705" s="141" t="s">
        <v>1032</v>
      </c>
      <c r="D1705" s="142" t="s">
        <v>694</v>
      </c>
      <c r="E1705" s="148"/>
      <c r="F1705" s="267">
        <f>F1706</f>
        <v>270</v>
      </c>
      <c r="G1705" s="156">
        <f t="shared" si="442"/>
        <v>255.75</v>
      </c>
      <c r="H1705" s="131">
        <f t="shared" si="441"/>
        <v>94.722222222222214</v>
      </c>
    </row>
    <row r="1706" spans="1:8" ht="18.75" x14ac:dyDescent="0.2">
      <c r="A1706" s="145" t="s">
        <v>871</v>
      </c>
      <c r="B1706" s="141" t="s">
        <v>1013</v>
      </c>
      <c r="C1706" s="141" t="s">
        <v>1032</v>
      </c>
      <c r="D1706" s="268" t="s">
        <v>694</v>
      </c>
      <c r="E1706" s="151" t="s">
        <v>15</v>
      </c>
      <c r="F1706" s="269">
        <f t="shared" ref="F1706:G1707" si="443">F1707</f>
        <v>270</v>
      </c>
      <c r="G1706" s="158">
        <f t="shared" si="443"/>
        <v>255.75</v>
      </c>
      <c r="H1706" s="131">
        <f t="shared" si="441"/>
        <v>94.722222222222214</v>
      </c>
    </row>
    <row r="1707" spans="1:8" ht="31.5" x14ac:dyDescent="0.2">
      <c r="A1707" s="162" t="s">
        <v>17</v>
      </c>
      <c r="B1707" s="141" t="s">
        <v>1013</v>
      </c>
      <c r="C1707" s="141" t="s">
        <v>1032</v>
      </c>
      <c r="D1707" s="268" t="s">
        <v>694</v>
      </c>
      <c r="E1707" s="151" t="s">
        <v>16</v>
      </c>
      <c r="F1707" s="269">
        <f t="shared" si="443"/>
        <v>270</v>
      </c>
      <c r="G1707" s="158">
        <f t="shared" si="443"/>
        <v>255.75</v>
      </c>
      <c r="H1707" s="131">
        <f t="shared" si="441"/>
        <v>94.722222222222214</v>
      </c>
    </row>
    <row r="1708" spans="1:8" s="82" customFormat="1" ht="18.75" hidden="1" x14ac:dyDescent="0.2">
      <c r="A1708" s="28" t="s">
        <v>548</v>
      </c>
      <c r="B1708" s="2" t="s">
        <v>1013</v>
      </c>
      <c r="C1708" s="2" t="s">
        <v>1032</v>
      </c>
      <c r="D1708" s="22" t="s">
        <v>694</v>
      </c>
      <c r="E1708" s="2" t="s">
        <v>67</v>
      </c>
      <c r="F1708" s="6">
        <v>270</v>
      </c>
      <c r="G1708" s="14">
        <v>255.75</v>
      </c>
      <c r="H1708" s="97">
        <f t="shared" si="441"/>
        <v>94.722222222222214</v>
      </c>
    </row>
    <row r="1709" spans="1:8" ht="18.75" x14ac:dyDescent="0.2">
      <c r="A1709" s="135" t="s">
        <v>104</v>
      </c>
      <c r="B1709" s="136" t="s">
        <v>1013</v>
      </c>
      <c r="C1709" s="136" t="s">
        <v>1032</v>
      </c>
      <c r="D1709" s="136" t="s">
        <v>247</v>
      </c>
      <c r="E1709" s="136"/>
      <c r="F1709" s="138">
        <f>F1710+F1735</f>
        <v>54066</v>
      </c>
      <c r="G1709" s="138">
        <f>G1710+G1735</f>
        <v>53317.459589999999</v>
      </c>
      <c r="H1709" s="131">
        <f t="shared" si="441"/>
        <v>98.615506214626564</v>
      </c>
    </row>
    <row r="1710" spans="1:8" ht="31.5" x14ac:dyDescent="0.2">
      <c r="A1710" s="154" t="s">
        <v>696</v>
      </c>
      <c r="B1710" s="133" t="s">
        <v>1013</v>
      </c>
      <c r="C1710" s="133" t="s">
        <v>1032</v>
      </c>
      <c r="D1710" s="139" t="s">
        <v>287</v>
      </c>
      <c r="E1710" s="141"/>
      <c r="F1710" s="222">
        <f>F1711+F1721</f>
        <v>53916</v>
      </c>
      <c r="G1710" s="222">
        <f>G1711+G1721</f>
        <v>53206.902589999998</v>
      </c>
      <c r="H1710" s="131">
        <f t="shared" si="441"/>
        <v>98.684810798278804</v>
      </c>
    </row>
    <row r="1711" spans="1:8" ht="18.75" x14ac:dyDescent="0.2">
      <c r="A1711" s="155" t="s">
        <v>445</v>
      </c>
      <c r="B1711" s="148" t="s">
        <v>1013</v>
      </c>
      <c r="C1711" s="148" t="s">
        <v>1032</v>
      </c>
      <c r="D1711" s="142" t="s">
        <v>248</v>
      </c>
      <c r="E1711" s="148"/>
      <c r="F1711" s="156">
        <f>F1712+F1717</f>
        <v>40664</v>
      </c>
      <c r="G1711" s="156">
        <f>G1712+G1717</f>
        <v>40020.582300000002</v>
      </c>
      <c r="H1711" s="131">
        <f t="shared" si="441"/>
        <v>98.417721571906355</v>
      </c>
    </row>
    <row r="1712" spans="1:8" ht="47.25" x14ac:dyDescent="0.2">
      <c r="A1712" s="157" t="s">
        <v>35</v>
      </c>
      <c r="B1712" s="141" t="s">
        <v>1013</v>
      </c>
      <c r="C1712" s="141" t="s">
        <v>1032</v>
      </c>
      <c r="D1712" s="141" t="s">
        <v>248</v>
      </c>
      <c r="E1712" s="141">
        <v>100</v>
      </c>
      <c r="F1712" s="158">
        <f>F1713</f>
        <v>31858</v>
      </c>
      <c r="G1712" s="158">
        <f>G1713</f>
        <v>31499.687969999999</v>
      </c>
      <c r="H1712" s="131">
        <f t="shared" si="441"/>
        <v>98.875283978906396</v>
      </c>
    </row>
    <row r="1713" spans="1:8" ht="18.75" x14ac:dyDescent="0.2">
      <c r="A1713" s="157" t="s">
        <v>8</v>
      </c>
      <c r="B1713" s="141" t="s">
        <v>1013</v>
      </c>
      <c r="C1713" s="141" t="s">
        <v>1032</v>
      </c>
      <c r="D1713" s="141" t="s">
        <v>248</v>
      </c>
      <c r="E1713" s="141">
        <v>120</v>
      </c>
      <c r="F1713" s="158">
        <f>SUM(F1714:F1716)</f>
        <v>31858</v>
      </c>
      <c r="G1713" s="158">
        <f>SUM(G1714:G1716)</f>
        <v>31499.687969999999</v>
      </c>
      <c r="H1713" s="131">
        <f t="shared" si="441"/>
        <v>98.875283978906396</v>
      </c>
    </row>
    <row r="1714" spans="1:8" s="82" customFormat="1" ht="18.75" hidden="1" x14ac:dyDescent="0.2">
      <c r="A1714" s="3" t="s">
        <v>244</v>
      </c>
      <c r="B1714" s="2" t="s">
        <v>1013</v>
      </c>
      <c r="C1714" s="2" t="s">
        <v>1032</v>
      </c>
      <c r="D1714" s="2" t="s">
        <v>248</v>
      </c>
      <c r="E1714" s="2" t="s">
        <v>64</v>
      </c>
      <c r="F1714" s="62">
        <f>16517+1652+144+800</f>
        <v>19113</v>
      </c>
      <c r="G1714" s="62">
        <v>18858.719140000001</v>
      </c>
      <c r="H1714" s="97">
        <f t="shared" si="441"/>
        <v>98.669592110082149</v>
      </c>
    </row>
    <row r="1715" spans="1:8" s="82" customFormat="1" ht="31.5" hidden="1" x14ac:dyDescent="0.2">
      <c r="A1715" s="3" t="s">
        <v>65</v>
      </c>
      <c r="B1715" s="2" t="s">
        <v>1013</v>
      </c>
      <c r="C1715" s="2" t="s">
        <v>1032</v>
      </c>
      <c r="D1715" s="2" t="s">
        <v>248</v>
      </c>
      <c r="E1715" s="2" t="s">
        <v>66</v>
      </c>
      <c r="F1715" s="29">
        <f>5720-1+572+7+34-800</f>
        <v>5532</v>
      </c>
      <c r="G1715" s="62">
        <v>5531.4344199999996</v>
      </c>
      <c r="H1715" s="97">
        <f t="shared" si="441"/>
        <v>99.989776211135208</v>
      </c>
    </row>
    <row r="1716" spans="1:8" s="82" customFormat="1" ht="47.25" hidden="1" x14ac:dyDescent="0.2">
      <c r="A1716" s="3" t="s">
        <v>140</v>
      </c>
      <c r="B1716" s="2" t="s">
        <v>1013</v>
      </c>
      <c r="C1716" s="2" t="s">
        <v>1032</v>
      </c>
      <c r="D1716" s="2" t="s">
        <v>248</v>
      </c>
      <c r="E1716" s="2" t="s">
        <v>139</v>
      </c>
      <c r="F1716" s="62">
        <f>6517+652+44</f>
        <v>7213</v>
      </c>
      <c r="G1716" s="62">
        <v>7109.5344100000002</v>
      </c>
      <c r="H1716" s="97">
        <f t="shared" si="441"/>
        <v>98.565567863579645</v>
      </c>
    </row>
    <row r="1717" spans="1:8" ht="18.75" x14ac:dyDescent="0.2">
      <c r="A1717" s="145" t="s">
        <v>871</v>
      </c>
      <c r="B1717" s="141" t="s">
        <v>1013</v>
      </c>
      <c r="C1717" s="141" t="s">
        <v>1032</v>
      </c>
      <c r="D1717" s="141" t="s">
        <v>248</v>
      </c>
      <c r="E1717" s="141">
        <v>200</v>
      </c>
      <c r="F1717" s="158">
        <f>F1718</f>
        <v>8806</v>
      </c>
      <c r="G1717" s="158">
        <f>G1718</f>
        <v>8520.894330000001</v>
      </c>
      <c r="H1717" s="131">
        <f t="shared" si="441"/>
        <v>96.762370315693857</v>
      </c>
    </row>
    <row r="1718" spans="1:8" ht="31.5" x14ac:dyDescent="0.2">
      <c r="A1718" s="157" t="s">
        <v>17</v>
      </c>
      <c r="B1718" s="141" t="s">
        <v>1013</v>
      </c>
      <c r="C1718" s="141" t="s">
        <v>1032</v>
      </c>
      <c r="D1718" s="141" t="s">
        <v>248</v>
      </c>
      <c r="E1718" s="141">
        <v>240</v>
      </c>
      <c r="F1718" s="158">
        <f>F1719+F1720</f>
        <v>8806</v>
      </c>
      <c r="G1718" s="158">
        <f>G1719+G1720</f>
        <v>8520.894330000001</v>
      </c>
      <c r="H1718" s="131">
        <f t="shared" si="441"/>
        <v>96.762370315693857</v>
      </c>
    </row>
    <row r="1719" spans="1:8" s="82" customFormat="1" ht="31.5" hidden="1" x14ac:dyDescent="0.2">
      <c r="A1719" s="28" t="s">
        <v>367</v>
      </c>
      <c r="B1719" s="2" t="s">
        <v>1013</v>
      </c>
      <c r="C1719" s="2" t="s">
        <v>1032</v>
      </c>
      <c r="D1719" s="2" t="s">
        <v>248</v>
      </c>
      <c r="E1719" s="2" t="s">
        <v>368</v>
      </c>
      <c r="F1719" s="14">
        <f>730+780</f>
        <v>1510</v>
      </c>
      <c r="G1719" s="14">
        <v>1493.5350000000001</v>
      </c>
      <c r="H1719" s="97">
        <f t="shared" si="441"/>
        <v>98.909602649006629</v>
      </c>
    </row>
    <row r="1720" spans="1:8" s="82" customFormat="1" ht="18.75" hidden="1" x14ac:dyDescent="0.2">
      <c r="A1720" s="28" t="s">
        <v>548</v>
      </c>
      <c r="B1720" s="2" t="s">
        <v>1013</v>
      </c>
      <c r="C1720" s="2" t="s">
        <v>1032</v>
      </c>
      <c r="D1720" s="2" t="s">
        <v>248</v>
      </c>
      <c r="E1720" s="2" t="s">
        <v>67</v>
      </c>
      <c r="F1720" s="29">
        <f>5074+3002-780</f>
        <v>7296</v>
      </c>
      <c r="G1720" s="14">
        <v>7027.3593300000002</v>
      </c>
      <c r="H1720" s="97">
        <f t="shared" si="441"/>
        <v>96.317973273026311</v>
      </c>
    </row>
    <row r="1721" spans="1:8" ht="18.75" x14ac:dyDescent="0.2">
      <c r="A1721" s="155" t="s">
        <v>697</v>
      </c>
      <c r="B1721" s="148" t="s">
        <v>1013</v>
      </c>
      <c r="C1721" s="148" t="s">
        <v>1032</v>
      </c>
      <c r="D1721" s="142" t="s">
        <v>249</v>
      </c>
      <c r="E1721" s="148"/>
      <c r="F1721" s="156">
        <f>F1722+F1726+F1730</f>
        <v>13252</v>
      </c>
      <c r="G1721" s="156">
        <f>G1722+G1726+G1730</f>
        <v>13186.32029</v>
      </c>
      <c r="H1721" s="131">
        <f t="shared" si="441"/>
        <v>99.504378886205856</v>
      </c>
    </row>
    <row r="1722" spans="1:8" ht="47.25" x14ac:dyDescent="0.2">
      <c r="A1722" s="162" t="s">
        <v>27</v>
      </c>
      <c r="B1722" s="141" t="s">
        <v>1013</v>
      </c>
      <c r="C1722" s="141" t="s">
        <v>1032</v>
      </c>
      <c r="D1722" s="146" t="s">
        <v>249</v>
      </c>
      <c r="E1722" s="141" t="s">
        <v>28</v>
      </c>
      <c r="F1722" s="158">
        <f>F1723</f>
        <v>11932</v>
      </c>
      <c r="G1722" s="158">
        <f>G1723</f>
        <v>11921.55581</v>
      </c>
      <c r="H1722" s="131">
        <f t="shared" si="441"/>
        <v>99.912469074756956</v>
      </c>
    </row>
    <row r="1723" spans="1:8" ht="18.75" x14ac:dyDescent="0.2">
      <c r="A1723" s="162" t="s">
        <v>30</v>
      </c>
      <c r="B1723" s="141" t="s">
        <v>1013</v>
      </c>
      <c r="C1723" s="141" t="s">
        <v>1032</v>
      </c>
      <c r="D1723" s="146" t="s">
        <v>249</v>
      </c>
      <c r="E1723" s="141" t="s">
        <v>29</v>
      </c>
      <c r="F1723" s="158">
        <f>SUM(F1724:F1725)</f>
        <v>11932</v>
      </c>
      <c r="G1723" s="158">
        <f>SUM(G1724:G1725)</f>
        <v>11921.55581</v>
      </c>
      <c r="H1723" s="131">
        <f t="shared" si="441"/>
        <v>99.912469074756956</v>
      </c>
    </row>
    <row r="1724" spans="1:8" s="82" customFormat="1" ht="18.75" hidden="1" x14ac:dyDescent="0.2">
      <c r="A1724" s="3" t="s">
        <v>237</v>
      </c>
      <c r="B1724" s="2" t="s">
        <v>1013</v>
      </c>
      <c r="C1724" s="2" t="s">
        <v>1032</v>
      </c>
      <c r="D1724" s="4" t="s">
        <v>249</v>
      </c>
      <c r="E1724" s="2" t="s">
        <v>77</v>
      </c>
      <c r="F1724" s="25">
        <f>9221-538+481</f>
        <v>9164</v>
      </c>
      <c r="G1724" s="14">
        <v>9163.2527200000004</v>
      </c>
      <c r="H1724" s="97">
        <f t="shared" si="441"/>
        <v>99.991845482322134</v>
      </c>
    </row>
    <row r="1725" spans="1:8" s="82" customFormat="1" ht="31.5" hidden="1" x14ac:dyDescent="0.2">
      <c r="A1725" s="3" t="s">
        <v>137</v>
      </c>
      <c r="B1725" s="2" t="s">
        <v>1013</v>
      </c>
      <c r="C1725" s="2" t="s">
        <v>1032</v>
      </c>
      <c r="D1725" s="4" t="s">
        <v>249</v>
      </c>
      <c r="E1725" s="2" t="s">
        <v>136</v>
      </c>
      <c r="F1725" s="25">
        <f>2785-162+145</f>
        <v>2768</v>
      </c>
      <c r="G1725" s="14">
        <v>2758.3030899999999</v>
      </c>
      <c r="H1725" s="97">
        <f t="shared" si="441"/>
        <v>99.649678106936406</v>
      </c>
    </row>
    <row r="1726" spans="1:8" ht="18.75" x14ac:dyDescent="0.2">
      <c r="A1726" s="145" t="s">
        <v>871</v>
      </c>
      <c r="B1726" s="141" t="s">
        <v>1013</v>
      </c>
      <c r="C1726" s="141" t="s">
        <v>1032</v>
      </c>
      <c r="D1726" s="146" t="s">
        <v>249</v>
      </c>
      <c r="E1726" s="141">
        <v>200</v>
      </c>
      <c r="F1726" s="158">
        <f>F1727</f>
        <v>1300</v>
      </c>
      <c r="G1726" s="158">
        <f>G1727</f>
        <v>1249.76448</v>
      </c>
      <c r="H1726" s="131">
        <f t="shared" si="441"/>
        <v>96.135729230769229</v>
      </c>
    </row>
    <row r="1727" spans="1:8" ht="31.5" x14ac:dyDescent="0.2">
      <c r="A1727" s="162" t="s">
        <v>17</v>
      </c>
      <c r="B1727" s="141" t="s">
        <v>1013</v>
      </c>
      <c r="C1727" s="141" t="s">
        <v>1032</v>
      </c>
      <c r="D1727" s="146" t="s">
        <v>249</v>
      </c>
      <c r="E1727" s="141">
        <v>240</v>
      </c>
      <c r="F1727" s="158">
        <f>F1728+F1729</f>
        <v>1300</v>
      </c>
      <c r="G1727" s="158">
        <f>G1728+G1729</f>
        <v>1249.76448</v>
      </c>
      <c r="H1727" s="131">
        <f t="shared" si="441"/>
        <v>96.135729230769229</v>
      </c>
    </row>
    <row r="1728" spans="1:8" s="82" customFormat="1" ht="31.5" hidden="1" x14ac:dyDescent="0.2">
      <c r="A1728" s="28" t="s">
        <v>367</v>
      </c>
      <c r="B1728" s="2" t="s">
        <v>1013</v>
      </c>
      <c r="C1728" s="2" t="s">
        <v>1032</v>
      </c>
      <c r="D1728" s="4" t="s">
        <v>249</v>
      </c>
      <c r="E1728" s="2" t="s">
        <v>368</v>
      </c>
      <c r="F1728" s="25">
        <f>118+20-48</f>
        <v>90</v>
      </c>
      <c r="G1728" s="14">
        <v>89.194999999999993</v>
      </c>
      <c r="H1728" s="97">
        <f t="shared" si="441"/>
        <v>99.10555555555554</v>
      </c>
    </row>
    <row r="1729" spans="1:8" s="82" customFormat="1" ht="18.75" hidden="1" x14ac:dyDescent="0.2">
      <c r="A1729" s="28" t="s">
        <v>548</v>
      </c>
      <c r="B1729" s="2" t="s">
        <v>1013</v>
      </c>
      <c r="C1729" s="2" t="s">
        <v>1032</v>
      </c>
      <c r="D1729" s="4" t="s">
        <v>249</v>
      </c>
      <c r="E1729" s="2" t="s">
        <v>67</v>
      </c>
      <c r="F1729" s="25">
        <f>545+680-15</f>
        <v>1210</v>
      </c>
      <c r="G1729" s="14">
        <v>1160.5694800000001</v>
      </c>
      <c r="H1729" s="97">
        <f t="shared" si="441"/>
        <v>95.91483305785124</v>
      </c>
    </row>
    <row r="1730" spans="1:8" ht="18.75" x14ac:dyDescent="0.2">
      <c r="A1730" s="157" t="s">
        <v>13</v>
      </c>
      <c r="B1730" s="141" t="s">
        <v>1013</v>
      </c>
      <c r="C1730" s="141" t="s">
        <v>1032</v>
      </c>
      <c r="D1730" s="146" t="s">
        <v>249</v>
      </c>
      <c r="E1730" s="141">
        <v>800</v>
      </c>
      <c r="F1730" s="158">
        <f>F1731+F1733</f>
        <v>20</v>
      </c>
      <c r="G1730" s="158">
        <f t="shared" ref="G1730" si="444">G1731+G1733</f>
        <v>15</v>
      </c>
      <c r="H1730" s="131">
        <f t="shared" si="441"/>
        <v>75</v>
      </c>
    </row>
    <row r="1731" spans="1:8" ht="18.75" x14ac:dyDescent="0.2">
      <c r="A1731" s="145" t="s">
        <v>32</v>
      </c>
      <c r="B1731" s="141" t="s">
        <v>1013</v>
      </c>
      <c r="C1731" s="141" t="s">
        <v>1032</v>
      </c>
      <c r="D1731" s="146" t="s">
        <v>249</v>
      </c>
      <c r="E1731" s="141" t="s">
        <v>457</v>
      </c>
      <c r="F1731" s="237">
        <f>F1732</f>
        <v>15</v>
      </c>
      <c r="G1731" s="237">
        <f t="shared" ref="G1731" si="445">G1732</f>
        <v>15</v>
      </c>
      <c r="H1731" s="131">
        <f t="shared" si="441"/>
        <v>100</v>
      </c>
    </row>
    <row r="1732" spans="1:8" s="82" customFormat="1" ht="18.75" hidden="1" x14ac:dyDescent="0.2">
      <c r="A1732" s="3" t="s">
        <v>1007</v>
      </c>
      <c r="B1732" s="2" t="s">
        <v>1013</v>
      </c>
      <c r="C1732" s="2" t="s">
        <v>1032</v>
      </c>
      <c r="D1732" s="4" t="s">
        <v>249</v>
      </c>
      <c r="E1732" s="2" t="s">
        <v>458</v>
      </c>
      <c r="F1732" s="25">
        <f>0+15</f>
        <v>15</v>
      </c>
      <c r="G1732" s="25">
        <v>15</v>
      </c>
      <c r="H1732" s="97">
        <f t="shared" si="441"/>
        <v>100</v>
      </c>
    </row>
    <row r="1733" spans="1:8" ht="18.75" x14ac:dyDescent="0.2">
      <c r="A1733" s="157" t="s">
        <v>32</v>
      </c>
      <c r="B1733" s="141" t="s">
        <v>1013</v>
      </c>
      <c r="C1733" s="141" t="s">
        <v>1032</v>
      </c>
      <c r="D1733" s="146" t="s">
        <v>249</v>
      </c>
      <c r="E1733" s="141">
        <v>850</v>
      </c>
      <c r="F1733" s="158">
        <f>F1734</f>
        <v>5</v>
      </c>
      <c r="G1733" s="158">
        <f>G1734</f>
        <v>0</v>
      </c>
      <c r="H1733" s="131">
        <f t="shared" si="441"/>
        <v>0</v>
      </c>
    </row>
    <row r="1734" spans="1:8" s="82" customFormat="1" ht="18.75" hidden="1" x14ac:dyDescent="0.2">
      <c r="A1734" s="78" t="s">
        <v>70</v>
      </c>
      <c r="B1734" s="2" t="s">
        <v>1013</v>
      </c>
      <c r="C1734" s="2" t="s">
        <v>1032</v>
      </c>
      <c r="D1734" s="4" t="s">
        <v>249</v>
      </c>
      <c r="E1734" s="5" t="s">
        <v>71</v>
      </c>
      <c r="F1734" s="14">
        <v>5</v>
      </c>
      <c r="G1734" s="14">
        <v>0</v>
      </c>
      <c r="H1734" s="97">
        <f t="shared" si="441"/>
        <v>0</v>
      </c>
    </row>
    <row r="1735" spans="1:8" ht="47.25" x14ac:dyDescent="0.2">
      <c r="A1735" s="154" t="s">
        <v>698</v>
      </c>
      <c r="B1735" s="133" t="s">
        <v>1013</v>
      </c>
      <c r="C1735" s="133" t="s">
        <v>1032</v>
      </c>
      <c r="D1735" s="139" t="s">
        <v>699</v>
      </c>
      <c r="E1735" s="141"/>
      <c r="F1735" s="222">
        <f>F1736</f>
        <v>150</v>
      </c>
      <c r="G1735" s="222">
        <f t="shared" ref="G1735" si="446">G1736</f>
        <v>110.557</v>
      </c>
      <c r="H1735" s="131">
        <f t="shared" si="441"/>
        <v>73.704666666666668</v>
      </c>
    </row>
    <row r="1736" spans="1:8" ht="18.75" x14ac:dyDescent="0.2">
      <c r="A1736" s="155" t="s">
        <v>105</v>
      </c>
      <c r="B1736" s="148" t="s">
        <v>1013</v>
      </c>
      <c r="C1736" s="148" t="s">
        <v>1032</v>
      </c>
      <c r="D1736" s="142" t="s">
        <v>700</v>
      </c>
      <c r="E1736" s="148"/>
      <c r="F1736" s="156">
        <f>F1737</f>
        <v>150</v>
      </c>
      <c r="G1736" s="156">
        <f>G1737</f>
        <v>110.557</v>
      </c>
      <c r="H1736" s="131">
        <f t="shared" si="441"/>
        <v>73.704666666666668</v>
      </c>
    </row>
    <row r="1737" spans="1:8" ht="18.75" x14ac:dyDescent="0.2">
      <c r="A1737" s="155" t="s">
        <v>83</v>
      </c>
      <c r="B1737" s="148" t="s">
        <v>1013</v>
      </c>
      <c r="C1737" s="148" t="s">
        <v>1032</v>
      </c>
      <c r="D1737" s="142" t="s">
        <v>701</v>
      </c>
      <c r="E1737" s="148"/>
      <c r="F1737" s="156">
        <f>F1738</f>
        <v>150</v>
      </c>
      <c r="G1737" s="156">
        <f t="shared" ref="G1737" si="447">G1738</f>
        <v>110.557</v>
      </c>
      <c r="H1737" s="131">
        <f t="shared" si="441"/>
        <v>73.704666666666668</v>
      </c>
    </row>
    <row r="1738" spans="1:8" ht="18.75" x14ac:dyDescent="0.2">
      <c r="A1738" s="145" t="s">
        <v>871</v>
      </c>
      <c r="B1738" s="141" t="s">
        <v>1013</v>
      </c>
      <c r="C1738" s="141" t="s">
        <v>1032</v>
      </c>
      <c r="D1738" s="268" t="s">
        <v>701</v>
      </c>
      <c r="E1738" s="151" t="s">
        <v>15</v>
      </c>
      <c r="F1738" s="158">
        <f t="shared" ref="F1738:G1739" si="448">F1739</f>
        <v>150</v>
      </c>
      <c r="G1738" s="158">
        <f t="shared" si="448"/>
        <v>110.557</v>
      </c>
      <c r="H1738" s="131">
        <f t="shared" si="441"/>
        <v>73.704666666666668</v>
      </c>
    </row>
    <row r="1739" spans="1:8" ht="31.5" x14ac:dyDescent="0.2">
      <c r="A1739" s="162" t="s">
        <v>17</v>
      </c>
      <c r="B1739" s="141" t="s">
        <v>1013</v>
      </c>
      <c r="C1739" s="141" t="s">
        <v>1032</v>
      </c>
      <c r="D1739" s="268" t="s">
        <v>701</v>
      </c>
      <c r="E1739" s="151" t="s">
        <v>16</v>
      </c>
      <c r="F1739" s="158">
        <f t="shared" si="448"/>
        <v>150</v>
      </c>
      <c r="G1739" s="158">
        <f t="shared" si="448"/>
        <v>110.557</v>
      </c>
      <c r="H1739" s="131">
        <f t="shared" si="441"/>
        <v>73.704666666666668</v>
      </c>
    </row>
    <row r="1740" spans="1:8" s="82" customFormat="1" ht="31.5" hidden="1" x14ac:dyDescent="0.2">
      <c r="A1740" s="28" t="s">
        <v>367</v>
      </c>
      <c r="B1740" s="2" t="s">
        <v>1013</v>
      </c>
      <c r="C1740" s="2" t="s">
        <v>1032</v>
      </c>
      <c r="D1740" s="22" t="s">
        <v>701</v>
      </c>
      <c r="E1740" s="2" t="s">
        <v>368</v>
      </c>
      <c r="F1740" s="14">
        <v>150</v>
      </c>
      <c r="G1740" s="14">
        <v>110.557</v>
      </c>
      <c r="H1740" s="97">
        <f t="shared" si="441"/>
        <v>73.704666666666668</v>
      </c>
    </row>
    <row r="1741" spans="1:8" ht="31.5" x14ac:dyDescent="0.2">
      <c r="A1741" s="132" t="s">
        <v>1069</v>
      </c>
      <c r="B1741" s="133" t="s">
        <v>1013</v>
      </c>
      <c r="C1741" s="133" t="s">
        <v>1032</v>
      </c>
      <c r="D1741" s="133" t="s">
        <v>156</v>
      </c>
      <c r="E1741" s="133"/>
      <c r="F1741" s="134">
        <f>F1742</f>
        <v>193</v>
      </c>
      <c r="G1741" s="134">
        <f>G1742</f>
        <v>192.59995999999998</v>
      </c>
      <c r="H1741" s="131">
        <f t="shared" si="441"/>
        <v>99.792725388601028</v>
      </c>
    </row>
    <row r="1742" spans="1:8" ht="18.75" x14ac:dyDescent="0.2">
      <c r="A1742" s="135" t="s">
        <v>349</v>
      </c>
      <c r="B1742" s="136" t="s">
        <v>1013</v>
      </c>
      <c r="C1742" s="136" t="s">
        <v>1032</v>
      </c>
      <c r="D1742" s="137" t="s">
        <v>350</v>
      </c>
      <c r="E1742" s="148"/>
      <c r="F1742" s="138">
        <f>F1743+F1748</f>
        <v>193</v>
      </c>
      <c r="G1742" s="138">
        <f>G1743+G1748</f>
        <v>192.59995999999998</v>
      </c>
      <c r="H1742" s="131">
        <f t="shared" si="441"/>
        <v>99.792725388601028</v>
      </c>
    </row>
    <row r="1743" spans="1:8" ht="31.5" x14ac:dyDescent="0.2">
      <c r="A1743" s="132" t="s">
        <v>1003</v>
      </c>
      <c r="B1743" s="161" t="s">
        <v>1013</v>
      </c>
      <c r="C1743" s="133" t="s">
        <v>1032</v>
      </c>
      <c r="D1743" s="139" t="s">
        <v>352</v>
      </c>
      <c r="E1743" s="161"/>
      <c r="F1743" s="134">
        <f t="shared" ref="F1743:G1746" si="449">F1744</f>
        <v>135</v>
      </c>
      <c r="G1743" s="134">
        <f t="shared" si="449"/>
        <v>134.99995999999999</v>
      </c>
      <c r="H1743" s="131">
        <f t="shared" si="441"/>
        <v>99.999970370370363</v>
      </c>
    </row>
    <row r="1744" spans="1:8" ht="63" x14ac:dyDescent="0.2">
      <c r="A1744" s="140" t="s">
        <v>704</v>
      </c>
      <c r="B1744" s="148" t="s">
        <v>1013</v>
      </c>
      <c r="C1744" s="148" t="s">
        <v>1032</v>
      </c>
      <c r="D1744" s="142" t="s">
        <v>353</v>
      </c>
      <c r="E1744" s="148"/>
      <c r="F1744" s="144">
        <f t="shared" si="449"/>
        <v>135</v>
      </c>
      <c r="G1744" s="144">
        <f t="shared" si="449"/>
        <v>134.99995999999999</v>
      </c>
      <c r="H1744" s="131">
        <f t="shared" si="441"/>
        <v>99.999970370370363</v>
      </c>
    </row>
    <row r="1745" spans="1:11" ht="18.75" x14ac:dyDescent="0.2">
      <c r="A1745" s="150" t="s">
        <v>871</v>
      </c>
      <c r="B1745" s="151" t="s">
        <v>1013</v>
      </c>
      <c r="C1745" s="151" t="s">
        <v>1032</v>
      </c>
      <c r="D1745" s="146" t="s">
        <v>353</v>
      </c>
      <c r="E1745" s="141" t="s">
        <v>15</v>
      </c>
      <c r="F1745" s="147">
        <f t="shared" si="449"/>
        <v>135</v>
      </c>
      <c r="G1745" s="147">
        <f t="shared" si="449"/>
        <v>134.99995999999999</v>
      </c>
      <c r="H1745" s="131">
        <f t="shared" si="441"/>
        <v>99.999970370370363</v>
      </c>
    </row>
    <row r="1746" spans="1:11" ht="31.5" x14ac:dyDescent="0.2">
      <c r="A1746" s="150" t="s">
        <v>17</v>
      </c>
      <c r="B1746" s="151" t="s">
        <v>1013</v>
      </c>
      <c r="C1746" s="151" t="s">
        <v>1032</v>
      </c>
      <c r="D1746" s="146" t="s">
        <v>353</v>
      </c>
      <c r="E1746" s="141" t="s">
        <v>16</v>
      </c>
      <c r="F1746" s="147">
        <f t="shared" si="449"/>
        <v>135</v>
      </c>
      <c r="G1746" s="147">
        <f t="shared" si="449"/>
        <v>134.99995999999999</v>
      </c>
      <c r="H1746" s="131">
        <f t="shared" si="441"/>
        <v>99.999970370370363</v>
      </c>
    </row>
    <row r="1747" spans="1:11" s="82" customFormat="1" ht="18.75" hidden="1" x14ac:dyDescent="0.2">
      <c r="A1747" s="3" t="s">
        <v>548</v>
      </c>
      <c r="B1747" s="5" t="s">
        <v>1013</v>
      </c>
      <c r="C1747" s="5" t="s">
        <v>1032</v>
      </c>
      <c r="D1747" s="4" t="s">
        <v>353</v>
      </c>
      <c r="E1747" s="2" t="s">
        <v>67</v>
      </c>
      <c r="F1747" s="10">
        <v>135</v>
      </c>
      <c r="G1747" s="10">
        <v>134.99995999999999</v>
      </c>
      <c r="H1747" s="97">
        <f t="shared" si="441"/>
        <v>99.999970370370363</v>
      </c>
    </row>
    <row r="1748" spans="1:11" ht="31.5" x14ac:dyDescent="0.2">
      <c r="A1748" s="132" t="s">
        <v>138</v>
      </c>
      <c r="B1748" s="161" t="s">
        <v>1013</v>
      </c>
      <c r="C1748" s="133" t="s">
        <v>1032</v>
      </c>
      <c r="D1748" s="139" t="s">
        <v>351</v>
      </c>
      <c r="E1748" s="161"/>
      <c r="F1748" s="134">
        <f t="shared" ref="F1748:G1751" si="450">F1749</f>
        <v>58</v>
      </c>
      <c r="G1748" s="134">
        <f t="shared" si="450"/>
        <v>57.6</v>
      </c>
      <c r="H1748" s="131">
        <f t="shared" si="441"/>
        <v>99.310344827586206</v>
      </c>
    </row>
    <row r="1749" spans="1:11" ht="18.75" x14ac:dyDescent="0.2">
      <c r="A1749" s="140" t="s">
        <v>354</v>
      </c>
      <c r="B1749" s="148" t="s">
        <v>1013</v>
      </c>
      <c r="C1749" s="148" t="s">
        <v>1032</v>
      </c>
      <c r="D1749" s="142" t="s">
        <v>356</v>
      </c>
      <c r="E1749" s="148"/>
      <c r="F1749" s="144">
        <f t="shared" si="450"/>
        <v>58</v>
      </c>
      <c r="G1749" s="144">
        <f t="shared" si="450"/>
        <v>57.6</v>
      </c>
      <c r="H1749" s="131">
        <f t="shared" si="441"/>
        <v>99.310344827586206</v>
      </c>
    </row>
    <row r="1750" spans="1:11" ht="18.75" x14ac:dyDescent="0.2">
      <c r="A1750" s="150" t="s">
        <v>871</v>
      </c>
      <c r="B1750" s="151" t="s">
        <v>1013</v>
      </c>
      <c r="C1750" s="151" t="s">
        <v>1032</v>
      </c>
      <c r="D1750" s="142" t="s">
        <v>356</v>
      </c>
      <c r="E1750" s="141" t="s">
        <v>15</v>
      </c>
      <c r="F1750" s="147">
        <f t="shared" si="450"/>
        <v>58</v>
      </c>
      <c r="G1750" s="147">
        <f t="shared" si="450"/>
        <v>57.6</v>
      </c>
      <c r="H1750" s="131">
        <f t="shared" si="441"/>
        <v>99.310344827586206</v>
      </c>
    </row>
    <row r="1751" spans="1:11" ht="31.5" x14ac:dyDescent="0.2">
      <c r="A1751" s="150" t="s">
        <v>17</v>
      </c>
      <c r="B1751" s="151" t="s">
        <v>1013</v>
      </c>
      <c r="C1751" s="151" t="s">
        <v>1032</v>
      </c>
      <c r="D1751" s="142" t="s">
        <v>356</v>
      </c>
      <c r="E1751" s="141" t="s">
        <v>16</v>
      </c>
      <c r="F1751" s="147">
        <f t="shared" si="450"/>
        <v>58</v>
      </c>
      <c r="G1751" s="147">
        <f t="shared" si="450"/>
        <v>57.6</v>
      </c>
      <c r="H1751" s="131">
        <f t="shared" si="441"/>
        <v>99.310344827586206</v>
      </c>
    </row>
    <row r="1752" spans="1:11" s="82" customFormat="1" ht="18.75" hidden="1" x14ac:dyDescent="0.2">
      <c r="A1752" s="3" t="s">
        <v>548</v>
      </c>
      <c r="B1752" s="5" t="s">
        <v>1013</v>
      </c>
      <c r="C1752" s="5" t="s">
        <v>1032</v>
      </c>
      <c r="D1752" s="1" t="s">
        <v>356</v>
      </c>
      <c r="E1752" s="2" t="s">
        <v>67</v>
      </c>
      <c r="F1752" s="10">
        <f>85-27</f>
        <v>58</v>
      </c>
      <c r="G1752" s="10">
        <v>57.6</v>
      </c>
      <c r="H1752" s="97">
        <f t="shared" si="441"/>
        <v>99.310344827586206</v>
      </c>
    </row>
    <row r="1753" spans="1:11" ht="18.75" x14ac:dyDescent="0.2">
      <c r="A1753" s="128" t="s">
        <v>1070</v>
      </c>
      <c r="B1753" s="129" t="s">
        <v>1037</v>
      </c>
      <c r="C1753" s="129"/>
      <c r="D1753" s="129"/>
      <c r="E1753" s="129"/>
      <c r="F1753" s="130">
        <f>F1754+F1931</f>
        <v>839537</v>
      </c>
      <c r="G1753" s="232">
        <f>G1754+G1931</f>
        <v>821427.79116999998</v>
      </c>
      <c r="H1753" s="298">
        <f t="shared" si="441"/>
        <v>97.842952862113293</v>
      </c>
      <c r="K1753" s="96">
        <f>821427.79117-G1753</f>
        <v>0</v>
      </c>
    </row>
    <row r="1754" spans="1:11" ht="18.75" x14ac:dyDescent="0.2">
      <c r="A1754" s="132" t="s">
        <v>1071</v>
      </c>
      <c r="B1754" s="133" t="s">
        <v>1037</v>
      </c>
      <c r="C1754" s="133" t="s">
        <v>992</v>
      </c>
      <c r="D1754" s="133"/>
      <c r="E1754" s="133"/>
      <c r="F1754" s="134">
        <f>F1755+F1895+F1912+F1921</f>
        <v>822495</v>
      </c>
      <c r="G1754" s="134">
        <f>G1755+G1895+G1912+G1921</f>
        <v>804696.31409</v>
      </c>
      <c r="H1754" s="298">
        <f t="shared" si="441"/>
        <v>97.8360128742424</v>
      </c>
    </row>
    <row r="1755" spans="1:11" ht="18.75" x14ac:dyDescent="0.2">
      <c r="A1755" s="132" t="s">
        <v>1072</v>
      </c>
      <c r="B1755" s="133" t="s">
        <v>1037</v>
      </c>
      <c r="C1755" s="133" t="s">
        <v>992</v>
      </c>
      <c r="D1755" s="133" t="s">
        <v>179</v>
      </c>
      <c r="E1755" s="133"/>
      <c r="F1755" s="134">
        <f>F1756+F1818+F1880+F1890</f>
        <v>818106</v>
      </c>
      <c r="G1755" s="134">
        <f>G1756+G1818+G1880+G1890</f>
        <v>800317.60323000001</v>
      </c>
      <c r="H1755" s="298">
        <f t="shared" si="441"/>
        <v>97.825661128264557</v>
      </c>
    </row>
    <row r="1756" spans="1:11" ht="31.5" x14ac:dyDescent="0.2">
      <c r="A1756" s="132" t="s">
        <v>191</v>
      </c>
      <c r="B1756" s="133" t="s">
        <v>1037</v>
      </c>
      <c r="C1756" s="133" t="s">
        <v>992</v>
      </c>
      <c r="D1756" s="139" t="s">
        <v>200</v>
      </c>
      <c r="E1756" s="161"/>
      <c r="F1756" s="134">
        <f>F1757+F1773+F1812</f>
        <v>587051</v>
      </c>
      <c r="G1756" s="134">
        <f>G1757+G1773+G1812</f>
        <v>569772.03561000002</v>
      </c>
      <c r="H1756" s="298">
        <f t="shared" si="441"/>
        <v>97.056650207562882</v>
      </c>
    </row>
    <row r="1757" spans="1:11" ht="18.75" x14ac:dyDescent="0.2">
      <c r="A1757" s="154" t="s">
        <v>202</v>
      </c>
      <c r="B1757" s="133" t="s">
        <v>1037</v>
      </c>
      <c r="C1757" s="133" t="s">
        <v>992</v>
      </c>
      <c r="D1757" s="139" t="s">
        <v>192</v>
      </c>
      <c r="E1757" s="133"/>
      <c r="F1757" s="134">
        <f>F1758+F1762+F1766+F1770</f>
        <v>58711</v>
      </c>
      <c r="G1757" s="134">
        <f>G1758+G1762+G1766+G1770</f>
        <v>58708.348360000004</v>
      </c>
      <c r="H1757" s="298">
        <f t="shared" si="441"/>
        <v>99.995483572073383</v>
      </c>
    </row>
    <row r="1758" spans="1:11" ht="18.75" x14ac:dyDescent="0.2">
      <c r="A1758" s="155" t="s">
        <v>39</v>
      </c>
      <c r="B1758" s="148" t="s">
        <v>1037</v>
      </c>
      <c r="C1758" s="148" t="s">
        <v>992</v>
      </c>
      <c r="D1758" s="148" t="s">
        <v>193</v>
      </c>
      <c r="E1758" s="148"/>
      <c r="F1758" s="144">
        <f t="shared" ref="F1758:G1760" si="451">F1759</f>
        <v>3000</v>
      </c>
      <c r="G1758" s="144">
        <f t="shared" si="451"/>
        <v>2997.99</v>
      </c>
      <c r="H1758" s="298">
        <f t="shared" si="441"/>
        <v>99.932999999999993</v>
      </c>
    </row>
    <row r="1759" spans="1:11" ht="31.5" x14ac:dyDescent="0.2">
      <c r="A1759" s="157" t="s">
        <v>18</v>
      </c>
      <c r="B1759" s="141" t="s">
        <v>1037</v>
      </c>
      <c r="C1759" s="141" t="s">
        <v>992</v>
      </c>
      <c r="D1759" s="141" t="s">
        <v>193</v>
      </c>
      <c r="E1759" s="141" t="s">
        <v>20</v>
      </c>
      <c r="F1759" s="144">
        <f t="shared" si="451"/>
        <v>3000</v>
      </c>
      <c r="G1759" s="144">
        <f t="shared" si="451"/>
        <v>2997.99</v>
      </c>
      <c r="H1759" s="298">
        <f t="shared" ref="H1759:H1822" si="452">G1759/F1759*100</f>
        <v>99.932999999999993</v>
      </c>
    </row>
    <row r="1760" spans="1:11" ht="18.75" x14ac:dyDescent="0.2">
      <c r="A1760" s="157" t="s">
        <v>24</v>
      </c>
      <c r="B1760" s="141" t="s">
        <v>1037</v>
      </c>
      <c r="C1760" s="141" t="s">
        <v>992</v>
      </c>
      <c r="D1760" s="141" t="s">
        <v>193</v>
      </c>
      <c r="E1760" s="141" t="s">
        <v>25</v>
      </c>
      <c r="F1760" s="147">
        <f t="shared" si="451"/>
        <v>3000</v>
      </c>
      <c r="G1760" s="147">
        <f t="shared" si="451"/>
        <v>2997.99</v>
      </c>
      <c r="H1760" s="298">
        <f t="shared" si="452"/>
        <v>99.932999999999993</v>
      </c>
    </row>
    <row r="1761" spans="1:8" s="82" customFormat="1" ht="18.75" hidden="1" x14ac:dyDescent="0.2">
      <c r="A1761" s="28" t="s">
        <v>72</v>
      </c>
      <c r="B1761" s="2" t="s">
        <v>1037</v>
      </c>
      <c r="C1761" s="2" t="s">
        <v>992</v>
      </c>
      <c r="D1761" s="2" t="s">
        <v>193</v>
      </c>
      <c r="E1761" s="2" t="s">
        <v>73</v>
      </c>
      <c r="F1761" s="10">
        <v>3000</v>
      </c>
      <c r="G1761" s="10">
        <v>2997.99</v>
      </c>
      <c r="H1761" s="100">
        <f t="shared" si="452"/>
        <v>99.932999999999993</v>
      </c>
    </row>
    <row r="1762" spans="1:8" ht="18.75" x14ac:dyDescent="0.2">
      <c r="A1762" s="155" t="s">
        <v>40</v>
      </c>
      <c r="B1762" s="148" t="s">
        <v>1037</v>
      </c>
      <c r="C1762" s="148" t="s">
        <v>992</v>
      </c>
      <c r="D1762" s="148" t="s">
        <v>194</v>
      </c>
      <c r="E1762" s="148"/>
      <c r="F1762" s="144">
        <f t="shared" ref="F1762:G1764" si="453">F1763</f>
        <v>545</v>
      </c>
      <c r="G1762" s="144">
        <f t="shared" si="453"/>
        <v>544.35835999999995</v>
      </c>
      <c r="H1762" s="298">
        <f t="shared" si="452"/>
        <v>99.882267889908249</v>
      </c>
    </row>
    <row r="1763" spans="1:8" ht="31.5" x14ac:dyDescent="0.2">
      <c r="A1763" s="157" t="s">
        <v>18</v>
      </c>
      <c r="B1763" s="141" t="s">
        <v>1037</v>
      </c>
      <c r="C1763" s="141" t="s">
        <v>992</v>
      </c>
      <c r="D1763" s="141" t="s">
        <v>194</v>
      </c>
      <c r="E1763" s="141" t="s">
        <v>20</v>
      </c>
      <c r="F1763" s="147">
        <f t="shared" si="453"/>
        <v>545</v>
      </c>
      <c r="G1763" s="147">
        <f t="shared" si="453"/>
        <v>544.35835999999995</v>
      </c>
      <c r="H1763" s="298">
        <f t="shared" si="452"/>
        <v>99.882267889908249</v>
      </c>
    </row>
    <row r="1764" spans="1:8" ht="18.75" x14ac:dyDescent="0.2">
      <c r="A1764" s="157" t="s">
        <v>24</v>
      </c>
      <c r="B1764" s="141" t="s">
        <v>1037</v>
      </c>
      <c r="C1764" s="141" t="s">
        <v>992</v>
      </c>
      <c r="D1764" s="141" t="s">
        <v>194</v>
      </c>
      <c r="E1764" s="141" t="s">
        <v>25</v>
      </c>
      <c r="F1764" s="147">
        <f t="shared" si="453"/>
        <v>545</v>
      </c>
      <c r="G1764" s="147">
        <f t="shared" si="453"/>
        <v>544.35835999999995</v>
      </c>
      <c r="H1764" s="298">
        <f t="shared" si="452"/>
        <v>99.882267889908249</v>
      </c>
    </row>
    <row r="1765" spans="1:8" s="82" customFormat="1" ht="18.75" hidden="1" x14ac:dyDescent="0.2">
      <c r="A1765" s="28" t="s">
        <v>72</v>
      </c>
      <c r="B1765" s="2" t="s">
        <v>1037</v>
      </c>
      <c r="C1765" s="2" t="s">
        <v>992</v>
      </c>
      <c r="D1765" s="2" t="s">
        <v>194</v>
      </c>
      <c r="E1765" s="2" t="s">
        <v>73</v>
      </c>
      <c r="F1765" s="10">
        <f>828-278-5</f>
        <v>545</v>
      </c>
      <c r="G1765" s="10">
        <v>544.35835999999995</v>
      </c>
      <c r="H1765" s="100">
        <f t="shared" si="452"/>
        <v>99.882267889908249</v>
      </c>
    </row>
    <row r="1766" spans="1:8" ht="18.75" x14ac:dyDescent="0.2">
      <c r="A1766" s="155" t="s">
        <v>476</v>
      </c>
      <c r="B1766" s="148" t="s">
        <v>1037</v>
      </c>
      <c r="C1766" s="148" t="s">
        <v>992</v>
      </c>
      <c r="D1766" s="148" t="s">
        <v>475</v>
      </c>
      <c r="E1766" s="148"/>
      <c r="F1766" s="144">
        <f t="shared" ref="F1766:G1768" si="454">F1767</f>
        <v>50</v>
      </c>
      <c r="G1766" s="144">
        <f t="shared" si="454"/>
        <v>50</v>
      </c>
      <c r="H1766" s="298">
        <f t="shared" si="452"/>
        <v>100</v>
      </c>
    </row>
    <row r="1767" spans="1:8" ht="31.5" x14ac:dyDescent="0.2">
      <c r="A1767" s="157" t="s">
        <v>18</v>
      </c>
      <c r="B1767" s="141" t="s">
        <v>1037</v>
      </c>
      <c r="C1767" s="141" t="s">
        <v>992</v>
      </c>
      <c r="D1767" s="141" t="s">
        <v>475</v>
      </c>
      <c r="E1767" s="141" t="s">
        <v>20</v>
      </c>
      <c r="F1767" s="147">
        <f t="shared" si="454"/>
        <v>50</v>
      </c>
      <c r="G1767" s="147">
        <f t="shared" si="454"/>
        <v>50</v>
      </c>
      <c r="H1767" s="298">
        <f t="shared" si="452"/>
        <v>100</v>
      </c>
    </row>
    <row r="1768" spans="1:8" ht="18.75" x14ac:dyDescent="0.2">
      <c r="A1768" s="157" t="s">
        <v>24</v>
      </c>
      <c r="B1768" s="141" t="s">
        <v>1037</v>
      </c>
      <c r="C1768" s="141" t="s">
        <v>992</v>
      </c>
      <c r="D1768" s="141" t="s">
        <v>475</v>
      </c>
      <c r="E1768" s="141" t="s">
        <v>25</v>
      </c>
      <c r="F1768" s="147">
        <f t="shared" si="454"/>
        <v>50</v>
      </c>
      <c r="G1768" s="147">
        <f t="shared" si="454"/>
        <v>50</v>
      </c>
      <c r="H1768" s="298">
        <f t="shared" si="452"/>
        <v>100</v>
      </c>
    </row>
    <row r="1769" spans="1:8" s="82" customFormat="1" ht="18.75" hidden="1" x14ac:dyDescent="0.2">
      <c r="A1769" s="28" t="s">
        <v>72</v>
      </c>
      <c r="B1769" s="2" t="s">
        <v>1037</v>
      </c>
      <c r="C1769" s="2" t="s">
        <v>992</v>
      </c>
      <c r="D1769" s="2" t="s">
        <v>475</v>
      </c>
      <c r="E1769" s="2" t="s">
        <v>73</v>
      </c>
      <c r="F1769" s="10">
        <f>200-150</f>
        <v>50</v>
      </c>
      <c r="G1769" s="10">
        <v>50</v>
      </c>
      <c r="H1769" s="100">
        <f t="shared" si="452"/>
        <v>100</v>
      </c>
    </row>
    <row r="1770" spans="1:8" ht="31.5" x14ac:dyDescent="0.2">
      <c r="A1770" s="157" t="s">
        <v>18</v>
      </c>
      <c r="B1770" s="141" t="s">
        <v>1037</v>
      </c>
      <c r="C1770" s="141" t="s">
        <v>992</v>
      </c>
      <c r="D1770" s="141" t="s">
        <v>195</v>
      </c>
      <c r="E1770" s="141" t="s">
        <v>20</v>
      </c>
      <c r="F1770" s="147">
        <f t="shared" ref="F1770:G1770" si="455">F1771</f>
        <v>55116</v>
      </c>
      <c r="G1770" s="147">
        <f t="shared" si="455"/>
        <v>55116</v>
      </c>
      <c r="H1770" s="298">
        <f t="shared" si="452"/>
        <v>100</v>
      </c>
    </row>
    <row r="1771" spans="1:8" ht="18.75" x14ac:dyDescent="0.2">
      <c r="A1771" s="157" t="s">
        <v>24</v>
      </c>
      <c r="B1771" s="141" t="s">
        <v>1037</v>
      </c>
      <c r="C1771" s="141" t="s">
        <v>992</v>
      </c>
      <c r="D1771" s="141" t="s">
        <v>195</v>
      </c>
      <c r="E1771" s="141" t="s">
        <v>25</v>
      </c>
      <c r="F1771" s="147">
        <f>F1772</f>
        <v>55116</v>
      </c>
      <c r="G1771" s="147">
        <f>G1772</f>
        <v>55116</v>
      </c>
      <c r="H1771" s="298">
        <f t="shared" si="452"/>
        <v>100</v>
      </c>
    </row>
    <row r="1772" spans="1:8" s="82" customFormat="1" ht="47.25" hidden="1" x14ac:dyDescent="0.2">
      <c r="A1772" s="28" t="s">
        <v>88</v>
      </c>
      <c r="B1772" s="2" t="s">
        <v>1037</v>
      </c>
      <c r="C1772" s="2" t="s">
        <v>992</v>
      </c>
      <c r="D1772" s="2" t="s">
        <v>195</v>
      </c>
      <c r="E1772" s="2" t="s">
        <v>89</v>
      </c>
      <c r="F1772" s="10">
        <f>57566-2450</f>
        <v>55116</v>
      </c>
      <c r="G1772" s="10">
        <v>55116</v>
      </c>
      <c r="H1772" s="100">
        <f t="shared" si="452"/>
        <v>100</v>
      </c>
    </row>
    <row r="1773" spans="1:8" ht="31.5" x14ac:dyDescent="0.2">
      <c r="A1773" s="154" t="s">
        <v>201</v>
      </c>
      <c r="B1773" s="133" t="s">
        <v>1037</v>
      </c>
      <c r="C1773" s="133" t="s">
        <v>992</v>
      </c>
      <c r="D1773" s="139" t="s">
        <v>196</v>
      </c>
      <c r="E1773" s="133"/>
      <c r="F1773" s="134">
        <f>F1774+F1780+F1784+F1788+F1794+F1806+F1798+F1802</f>
        <v>526940</v>
      </c>
      <c r="G1773" s="134">
        <f>G1774+G1780+G1784+G1788+G1794+G1798+G1802+G1806</f>
        <v>509663.94225000002</v>
      </c>
      <c r="H1773" s="298">
        <f t="shared" si="452"/>
        <v>96.721437402740349</v>
      </c>
    </row>
    <row r="1774" spans="1:8" ht="31.5" x14ac:dyDescent="0.2">
      <c r="A1774" s="155" t="s">
        <v>614</v>
      </c>
      <c r="B1774" s="148" t="s">
        <v>1037</v>
      </c>
      <c r="C1774" s="148" t="s">
        <v>992</v>
      </c>
      <c r="D1774" s="148" t="s">
        <v>482</v>
      </c>
      <c r="E1774" s="148"/>
      <c r="F1774" s="144">
        <f t="shared" ref="F1774:G1782" si="456">F1775</f>
        <v>8187</v>
      </c>
      <c r="G1774" s="144">
        <f t="shared" si="456"/>
        <v>8186.9775200000004</v>
      </c>
      <c r="H1774" s="298">
        <f t="shared" si="452"/>
        <v>99.999725418346159</v>
      </c>
    </row>
    <row r="1775" spans="1:8" ht="31.5" x14ac:dyDescent="0.2">
      <c r="A1775" s="157" t="s">
        <v>18</v>
      </c>
      <c r="B1775" s="141" t="s">
        <v>1037</v>
      </c>
      <c r="C1775" s="141" t="s">
        <v>992</v>
      </c>
      <c r="D1775" s="141" t="s">
        <v>482</v>
      </c>
      <c r="E1775" s="141" t="s">
        <v>20</v>
      </c>
      <c r="F1775" s="147">
        <f>F1776+F1778</f>
        <v>8187</v>
      </c>
      <c r="G1775" s="147">
        <f>G1776+G1778</f>
        <v>8186.9775200000004</v>
      </c>
      <c r="H1775" s="298">
        <f t="shared" si="452"/>
        <v>99.999725418346159</v>
      </c>
    </row>
    <row r="1776" spans="1:8" ht="18.75" x14ac:dyDescent="0.2">
      <c r="A1776" s="157" t="s">
        <v>24</v>
      </c>
      <c r="B1776" s="141" t="s">
        <v>1037</v>
      </c>
      <c r="C1776" s="141" t="s">
        <v>992</v>
      </c>
      <c r="D1776" s="141" t="s">
        <v>482</v>
      </c>
      <c r="E1776" s="141" t="s">
        <v>25</v>
      </c>
      <c r="F1776" s="147">
        <f>F1777</f>
        <v>7987</v>
      </c>
      <c r="G1776" s="147">
        <f>G1777</f>
        <v>7986.9775200000004</v>
      </c>
      <c r="H1776" s="298">
        <f t="shared" si="452"/>
        <v>99.999718542631783</v>
      </c>
    </row>
    <row r="1777" spans="1:8" s="82" customFormat="1" ht="18.75" hidden="1" x14ac:dyDescent="0.2">
      <c r="A1777" s="28" t="s">
        <v>72</v>
      </c>
      <c r="B1777" s="2" t="s">
        <v>1037</v>
      </c>
      <c r="C1777" s="2" t="s">
        <v>992</v>
      </c>
      <c r="D1777" s="2" t="s">
        <v>482</v>
      </c>
      <c r="E1777" s="2" t="s">
        <v>73</v>
      </c>
      <c r="F1777" s="10">
        <f>8000-13</f>
        <v>7987</v>
      </c>
      <c r="G1777" s="10">
        <v>7986.9775200000004</v>
      </c>
      <c r="H1777" s="100">
        <f t="shared" si="452"/>
        <v>99.999718542631783</v>
      </c>
    </row>
    <row r="1778" spans="1:8" ht="18.75" x14ac:dyDescent="0.2">
      <c r="A1778" s="157" t="s">
        <v>19</v>
      </c>
      <c r="B1778" s="141" t="s">
        <v>1037</v>
      </c>
      <c r="C1778" s="141" t="s">
        <v>992</v>
      </c>
      <c r="D1778" s="141" t="s">
        <v>482</v>
      </c>
      <c r="E1778" s="141" t="s">
        <v>21</v>
      </c>
      <c r="F1778" s="147">
        <f t="shared" si="456"/>
        <v>200</v>
      </c>
      <c r="G1778" s="147">
        <f t="shared" si="456"/>
        <v>200</v>
      </c>
      <c r="H1778" s="298">
        <f t="shared" si="452"/>
        <v>100</v>
      </c>
    </row>
    <row r="1779" spans="1:8" s="82" customFormat="1" ht="18.75" hidden="1" x14ac:dyDescent="0.2">
      <c r="A1779" s="28" t="s">
        <v>74</v>
      </c>
      <c r="B1779" s="2" t="s">
        <v>1037</v>
      </c>
      <c r="C1779" s="2" t="s">
        <v>992</v>
      </c>
      <c r="D1779" s="2" t="s">
        <v>482</v>
      </c>
      <c r="E1779" s="2" t="s">
        <v>75</v>
      </c>
      <c r="F1779" s="10">
        <v>200</v>
      </c>
      <c r="G1779" s="10">
        <v>200</v>
      </c>
      <c r="H1779" s="100">
        <f t="shared" si="452"/>
        <v>100</v>
      </c>
    </row>
    <row r="1780" spans="1:8" ht="31.5" x14ac:dyDescent="0.2">
      <c r="A1780" s="155" t="s">
        <v>858</v>
      </c>
      <c r="B1780" s="148" t="s">
        <v>1037</v>
      </c>
      <c r="C1780" s="148" t="s">
        <v>992</v>
      </c>
      <c r="D1780" s="148" t="s">
        <v>857</v>
      </c>
      <c r="E1780" s="148"/>
      <c r="F1780" s="144">
        <f t="shared" si="456"/>
        <v>18843</v>
      </c>
      <c r="G1780" s="144">
        <f t="shared" si="456"/>
        <v>18842.672500000001</v>
      </c>
      <c r="H1780" s="298">
        <f t="shared" si="452"/>
        <v>99.998261954041283</v>
      </c>
    </row>
    <row r="1781" spans="1:8" ht="31.5" x14ac:dyDescent="0.2">
      <c r="A1781" s="157" t="s">
        <v>18</v>
      </c>
      <c r="B1781" s="141" t="s">
        <v>1037</v>
      </c>
      <c r="C1781" s="141" t="s">
        <v>992</v>
      </c>
      <c r="D1781" s="141" t="s">
        <v>857</v>
      </c>
      <c r="E1781" s="141" t="s">
        <v>20</v>
      </c>
      <c r="F1781" s="147">
        <f>F1782</f>
        <v>18843</v>
      </c>
      <c r="G1781" s="147">
        <f>G1782</f>
        <v>18842.672500000001</v>
      </c>
      <c r="H1781" s="298">
        <f t="shared" si="452"/>
        <v>99.998261954041283</v>
      </c>
    </row>
    <row r="1782" spans="1:8" ht="18.75" x14ac:dyDescent="0.2">
      <c r="A1782" s="157" t="s">
        <v>19</v>
      </c>
      <c r="B1782" s="141" t="s">
        <v>1037</v>
      </c>
      <c r="C1782" s="141" t="s">
        <v>992</v>
      </c>
      <c r="D1782" s="141" t="s">
        <v>857</v>
      </c>
      <c r="E1782" s="141" t="s">
        <v>21</v>
      </c>
      <c r="F1782" s="147">
        <f t="shared" si="456"/>
        <v>18843</v>
      </c>
      <c r="G1782" s="147">
        <f t="shared" si="456"/>
        <v>18842.672500000001</v>
      </c>
      <c r="H1782" s="298">
        <f t="shared" si="452"/>
        <v>99.998261954041283</v>
      </c>
    </row>
    <row r="1783" spans="1:8" s="82" customFormat="1" ht="18.75" hidden="1" x14ac:dyDescent="0.2">
      <c r="A1783" s="28" t="s">
        <v>74</v>
      </c>
      <c r="B1783" s="2" t="s">
        <v>1037</v>
      </c>
      <c r="C1783" s="2" t="s">
        <v>992</v>
      </c>
      <c r="D1783" s="2" t="s">
        <v>857</v>
      </c>
      <c r="E1783" s="2" t="s">
        <v>75</v>
      </c>
      <c r="F1783" s="10">
        <f>9895+10000-1052</f>
        <v>18843</v>
      </c>
      <c r="G1783" s="10">
        <v>18842.672500000001</v>
      </c>
      <c r="H1783" s="100">
        <f t="shared" si="452"/>
        <v>99.998261954041283</v>
      </c>
    </row>
    <row r="1784" spans="1:8" ht="31.5" x14ac:dyDescent="0.2">
      <c r="A1784" s="155" t="s">
        <v>490</v>
      </c>
      <c r="B1784" s="148" t="s">
        <v>1037</v>
      </c>
      <c r="C1784" s="148" t="s">
        <v>992</v>
      </c>
      <c r="D1784" s="148" t="s">
        <v>479</v>
      </c>
      <c r="E1784" s="148"/>
      <c r="F1784" s="144">
        <f t="shared" ref="F1784:G1786" si="457">F1785</f>
        <v>177800</v>
      </c>
      <c r="G1784" s="144">
        <f t="shared" si="457"/>
        <v>160649.88479000001</v>
      </c>
      <c r="H1784" s="298">
        <f t="shared" si="452"/>
        <v>90.35426591113611</v>
      </c>
    </row>
    <row r="1785" spans="1:8" ht="31.5" x14ac:dyDescent="0.2">
      <c r="A1785" s="157" t="s">
        <v>18</v>
      </c>
      <c r="B1785" s="141" t="s">
        <v>1037</v>
      </c>
      <c r="C1785" s="141" t="s">
        <v>992</v>
      </c>
      <c r="D1785" s="141" t="s">
        <v>479</v>
      </c>
      <c r="E1785" s="141" t="s">
        <v>20</v>
      </c>
      <c r="F1785" s="147">
        <f t="shared" si="457"/>
        <v>177800</v>
      </c>
      <c r="G1785" s="147">
        <f t="shared" si="457"/>
        <v>160649.88479000001</v>
      </c>
      <c r="H1785" s="298">
        <f t="shared" si="452"/>
        <v>90.35426591113611</v>
      </c>
    </row>
    <row r="1786" spans="1:8" ht="18.75" x14ac:dyDescent="0.2">
      <c r="A1786" s="157" t="s">
        <v>19</v>
      </c>
      <c r="B1786" s="141" t="s">
        <v>1037</v>
      </c>
      <c r="C1786" s="141" t="s">
        <v>992</v>
      </c>
      <c r="D1786" s="141" t="s">
        <v>479</v>
      </c>
      <c r="E1786" s="141" t="s">
        <v>21</v>
      </c>
      <c r="F1786" s="147">
        <f t="shared" si="457"/>
        <v>177800</v>
      </c>
      <c r="G1786" s="147">
        <f t="shared" si="457"/>
        <v>160649.88479000001</v>
      </c>
      <c r="H1786" s="298">
        <f t="shared" si="452"/>
        <v>90.35426591113611</v>
      </c>
    </row>
    <row r="1787" spans="1:8" s="82" customFormat="1" ht="18.75" hidden="1" x14ac:dyDescent="0.2">
      <c r="A1787" s="28" t="s">
        <v>74</v>
      </c>
      <c r="B1787" s="2" t="s">
        <v>1037</v>
      </c>
      <c r="C1787" s="2" t="s">
        <v>992</v>
      </c>
      <c r="D1787" s="2" t="s">
        <v>479</v>
      </c>
      <c r="E1787" s="2" t="s">
        <v>75</v>
      </c>
      <c r="F1787" s="10">
        <f>160000+27800-10000</f>
        <v>177800</v>
      </c>
      <c r="G1787" s="10">
        <v>160649.88479000001</v>
      </c>
      <c r="H1787" s="100">
        <f t="shared" si="452"/>
        <v>90.35426591113611</v>
      </c>
    </row>
    <row r="1788" spans="1:8" ht="18.75" x14ac:dyDescent="0.2">
      <c r="A1788" s="155" t="s">
        <v>477</v>
      </c>
      <c r="B1788" s="148" t="s">
        <v>1037</v>
      </c>
      <c r="C1788" s="148" t="s">
        <v>992</v>
      </c>
      <c r="D1788" s="148" t="s">
        <v>478</v>
      </c>
      <c r="E1788" s="148"/>
      <c r="F1788" s="144">
        <f>F1789</f>
        <v>551</v>
      </c>
      <c r="G1788" s="144">
        <f>G1789</f>
        <v>549.14264000000003</v>
      </c>
      <c r="H1788" s="298">
        <f t="shared" si="452"/>
        <v>99.662911070780396</v>
      </c>
    </row>
    <row r="1789" spans="1:8" ht="31.5" x14ac:dyDescent="0.2">
      <c r="A1789" s="157" t="s">
        <v>18</v>
      </c>
      <c r="B1789" s="141" t="s">
        <v>1037</v>
      </c>
      <c r="C1789" s="141" t="s">
        <v>992</v>
      </c>
      <c r="D1789" s="141" t="s">
        <v>478</v>
      </c>
      <c r="E1789" s="141" t="s">
        <v>20</v>
      </c>
      <c r="F1789" s="147">
        <f>F1790+F1792</f>
        <v>551</v>
      </c>
      <c r="G1789" s="147">
        <f>G1790+G1792</f>
        <v>549.14264000000003</v>
      </c>
      <c r="H1789" s="298">
        <f t="shared" si="452"/>
        <v>99.662911070780396</v>
      </c>
    </row>
    <row r="1790" spans="1:8" ht="18.75" x14ac:dyDescent="0.2">
      <c r="A1790" s="157" t="s">
        <v>24</v>
      </c>
      <c r="B1790" s="141" t="s">
        <v>1037</v>
      </c>
      <c r="C1790" s="141" t="s">
        <v>992</v>
      </c>
      <c r="D1790" s="141" t="s">
        <v>478</v>
      </c>
      <c r="E1790" s="141" t="s">
        <v>25</v>
      </c>
      <c r="F1790" s="147">
        <f>F1791</f>
        <v>350</v>
      </c>
      <c r="G1790" s="147">
        <f>G1791</f>
        <v>348.74263999999999</v>
      </c>
      <c r="H1790" s="298">
        <f t="shared" si="452"/>
        <v>99.64075428571428</v>
      </c>
    </row>
    <row r="1791" spans="1:8" s="82" customFormat="1" ht="18.75" hidden="1" x14ac:dyDescent="0.2">
      <c r="A1791" s="28" t="s">
        <v>72</v>
      </c>
      <c r="B1791" s="2" t="s">
        <v>1037</v>
      </c>
      <c r="C1791" s="2" t="s">
        <v>992</v>
      </c>
      <c r="D1791" s="2" t="s">
        <v>478</v>
      </c>
      <c r="E1791" s="2" t="s">
        <v>73</v>
      </c>
      <c r="F1791" s="10">
        <v>350</v>
      </c>
      <c r="G1791" s="10">
        <v>348.74263999999999</v>
      </c>
      <c r="H1791" s="100">
        <f t="shared" si="452"/>
        <v>99.64075428571428</v>
      </c>
    </row>
    <row r="1792" spans="1:8" ht="18.75" x14ac:dyDescent="0.2">
      <c r="A1792" s="157" t="s">
        <v>19</v>
      </c>
      <c r="B1792" s="141" t="s">
        <v>1037</v>
      </c>
      <c r="C1792" s="141" t="s">
        <v>992</v>
      </c>
      <c r="D1792" s="141" t="s">
        <v>478</v>
      </c>
      <c r="E1792" s="141" t="s">
        <v>21</v>
      </c>
      <c r="F1792" s="147">
        <f>F1793</f>
        <v>201</v>
      </c>
      <c r="G1792" s="147">
        <f>G1793</f>
        <v>200.4</v>
      </c>
      <c r="H1792" s="298">
        <f t="shared" si="452"/>
        <v>99.701492537313442</v>
      </c>
    </row>
    <row r="1793" spans="1:8" s="82" customFormat="1" ht="18.75" hidden="1" x14ac:dyDescent="0.2">
      <c r="A1793" s="28" t="s">
        <v>74</v>
      </c>
      <c r="B1793" s="2" t="s">
        <v>1037</v>
      </c>
      <c r="C1793" s="2" t="s">
        <v>992</v>
      </c>
      <c r="D1793" s="2" t="s">
        <v>478</v>
      </c>
      <c r="E1793" s="2" t="s">
        <v>75</v>
      </c>
      <c r="F1793" s="10">
        <v>201</v>
      </c>
      <c r="G1793" s="10">
        <v>200.4</v>
      </c>
      <c r="H1793" s="100">
        <f t="shared" si="452"/>
        <v>99.701492537313442</v>
      </c>
    </row>
    <row r="1794" spans="1:8" ht="31.5" x14ac:dyDescent="0.2">
      <c r="A1794" s="155" t="s">
        <v>487</v>
      </c>
      <c r="B1794" s="148" t="s">
        <v>1037</v>
      </c>
      <c r="C1794" s="148" t="s">
        <v>992</v>
      </c>
      <c r="D1794" s="148" t="s">
        <v>483</v>
      </c>
      <c r="E1794" s="148"/>
      <c r="F1794" s="144">
        <f t="shared" ref="F1794:G1796" si="458">F1795</f>
        <v>8242</v>
      </c>
      <c r="G1794" s="144">
        <f t="shared" si="458"/>
        <v>8241.6</v>
      </c>
      <c r="H1794" s="298">
        <f t="shared" si="452"/>
        <v>99.995146809026934</v>
      </c>
    </row>
    <row r="1795" spans="1:8" ht="31.5" x14ac:dyDescent="0.2">
      <c r="A1795" s="157" t="s">
        <v>18</v>
      </c>
      <c r="B1795" s="141" t="s">
        <v>1037</v>
      </c>
      <c r="C1795" s="141" t="s">
        <v>992</v>
      </c>
      <c r="D1795" s="141" t="s">
        <v>483</v>
      </c>
      <c r="E1795" s="141" t="s">
        <v>20</v>
      </c>
      <c r="F1795" s="147">
        <f t="shared" si="458"/>
        <v>8242</v>
      </c>
      <c r="G1795" s="147">
        <f t="shared" si="458"/>
        <v>8241.6</v>
      </c>
      <c r="H1795" s="298">
        <f t="shared" si="452"/>
        <v>99.995146809026934</v>
      </c>
    </row>
    <row r="1796" spans="1:8" ht="18.75" x14ac:dyDescent="0.2">
      <c r="A1796" s="157" t="s">
        <v>24</v>
      </c>
      <c r="B1796" s="141" t="s">
        <v>1037</v>
      </c>
      <c r="C1796" s="141" t="s">
        <v>992</v>
      </c>
      <c r="D1796" s="141" t="s">
        <v>483</v>
      </c>
      <c r="E1796" s="141" t="s">
        <v>25</v>
      </c>
      <c r="F1796" s="147">
        <f t="shared" si="458"/>
        <v>8242</v>
      </c>
      <c r="G1796" s="147">
        <f t="shared" si="458"/>
        <v>8241.6</v>
      </c>
      <c r="H1796" s="298">
        <f t="shared" si="452"/>
        <v>99.995146809026934</v>
      </c>
    </row>
    <row r="1797" spans="1:8" s="82" customFormat="1" ht="18.75" hidden="1" x14ac:dyDescent="0.2">
      <c r="A1797" s="28" t="s">
        <v>72</v>
      </c>
      <c r="B1797" s="2" t="s">
        <v>1037</v>
      </c>
      <c r="C1797" s="2" t="s">
        <v>992</v>
      </c>
      <c r="D1797" s="2" t="s">
        <v>483</v>
      </c>
      <c r="E1797" s="2" t="s">
        <v>73</v>
      </c>
      <c r="F1797" s="10">
        <f>8467-225</f>
        <v>8242</v>
      </c>
      <c r="G1797" s="10">
        <v>8241.6</v>
      </c>
      <c r="H1797" s="100">
        <f t="shared" si="452"/>
        <v>99.995146809026934</v>
      </c>
    </row>
    <row r="1798" spans="1:8" ht="31.5" x14ac:dyDescent="0.2">
      <c r="A1798" s="140" t="s">
        <v>1125</v>
      </c>
      <c r="B1798" s="148" t="s">
        <v>1037</v>
      </c>
      <c r="C1798" s="148" t="s">
        <v>992</v>
      </c>
      <c r="D1798" s="142" t="s">
        <v>623</v>
      </c>
      <c r="E1798" s="148"/>
      <c r="F1798" s="144">
        <f t="shared" ref="F1798:G1799" si="459">F1799</f>
        <v>363</v>
      </c>
      <c r="G1798" s="144">
        <f t="shared" si="459"/>
        <v>239.66480000000001</v>
      </c>
      <c r="H1798" s="298">
        <f t="shared" si="452"/>
        <v>66.0233608815427</v>
      </c>
    </row>
    <row r="1799" spans="1:8" ht="18.75" x14ac:dyDescent="0.2">
      <c r="A1799" s="157" t="s">
        <v>871</v>
      </c>
      <c r="B1799" s="141" t="s">
        <v>1037</v>
      </c>
      <c r="C1799" s="141" t="s">
        <v>992</v>
      </c>
      <c r="D1799" s="142" t="s">
        <v>1073</v>
      </c>
      <c r="E1799" s="141" t="s">
        <v>15</v>
      </c>
      <c r="F1799" s="147">
        <f t="shared" si="459"/>
        <v>363</v>
      </c>
      <c r="G1799" s="147">
        <f t="shared" si="459"/>
        <v>239.66480000000001</v>
      </c>
      <c r="H1799" s="298">
        <f t="shared" si="452"/>
        <v>66.0233608815427</v>
      </c>
    </row>
    <row r="1800" spans="1:8" ht="31.5" x14ac:dyDescent="0.2">
      <c r="A1800" s="157" t="s">
        <v>17</v>
      </c>
      <c r="B1800" s="141" t="s">
        <v>1037</v>
      </c>
      <c r="C1800" s="141" t="s">
        <v>992</v>
      </c>
      <c r="D1800" s="142" t="s">
        <v>623</v>
      </c>
      <c r="E1800" s="141" t="s">
        <v>16</v>
      </c>
      <c r="F1800" s="147">
        <f>F1801</f>
        <v>363</v>
      </c>
      <c r="G1800" s="147">
        <f>G1801</f>
        <v>239.66480000000001</v>
      </c>
      <c r="H1800" s="298">
        <f t="shared" si="452"/>
        <v>66.0233608815427</v>
      </c>
    </row>
    <row r="1801" spans="1:8" s="82" customFormat="1" ht="31.5" hidden="1" x14ac:dyDescent="0.25">
      <c r="A1801" s="20" t="s">
        <v>502</v>
      </c>
      <c r="B1801" s="2" t="s">
        <v>1037</v>
      </c>
      <c r="C1801" s="2" t="s">
        <v>992</v>
      </c>
      <c r="D1801" s="1" t="s">
        <v>623</v>
      </c>
      <c r="E1801" s="2" t="s">
        <v>451</v>
      </c>
      <c r="F1801" s="10">
        <f>23000-1100-3648.32-14888.68-3000</f>
        <v>363</v>
      </c>
      <c r="G1801" s="10">
        <v>239.66480000000001</v>
      </c>
      <c r="H1801" s="100">
        <f t="shared" si="452"/>
        <v>66.0233608815427</v>
      </c>
    </row>
    <row r="1802" spans="1:8" ht="18.75" x14ac:dyDescent="0.2">
      <c r="A1802" s="155" t="s">
        <v>1130</v>
      </c>
      <c r="B1802" s="148" t="s">
        <v>1037</v>
      </c>
      <c r="C1802" s="148" t="s">
        <v>992</v>
      </c>
      <c r="D1802" s="148" t="s">
        <v>1131</v>
      </c>
      <c r="E1802" s="148"/>
      <c r="F1802" s="144">
        <f t="shared" ref="F1802:G1804" si="460">F1803</f>
        <v>4230</v>
      </c>
      <c r="G1802" s="144">
        <f t="shared" si="460"/>
        <v>4230</v>
      </c>
      <c r="H1802" s="298">
        <f t="shared" si="452"/>
        <v>100</v>
      </c>
    </row>
    <row r="1803" spans="1:8" ht="31.5" x14ac:dyDescent="0.2">
      <c r="A1803" s="157" t="s">
        <v>18</v>
      </c>
      <c r="B1803" s="141" t="s">
        <v>1037</v>
      </c>
      <c r="C1803" s="141" t="s">
        <v>992</v>
      </c>
      <c r="D1803" s="141" t="s">
        <v>1131</v>
      </c>
      <c r="E1803" s="141" t="s">
        <v>20</v>
      </c>
      <c r="F1803" s="147">
        <f t="shared" si="460"/>
        <v>4230</v>
      </c>
      <c r="G1803" s="147">
        <f t="shared" si="460"/>
        <v>4230</v>
      </c>
      <c r="H1803" s="298">
        <f t="shared" si="452"/>
        <v>100</v>
      </c>
    </row>
    <row r="1804" spans="1:8" ht="18.75" x14ac:dyDescent="0.2">
      <c r="A1804" s="157" t="s">
        <v>19</v>
      </c>
      <c r="B1804" s="141" t="s">
        <v>1037</v>
      </c>
      <c r="C1804" s="141" t="s">
        <v>992</v>
      </c>
      <c r="D1804" s="141" t="s">
        <v>1131</v>
      </c>
      <c r="E1804" s="141" t="s">
        <v>21</v>
      </c>
      <c r="F1804" s="147">
        <f t="shared" si="460"/>
        <v>4230</v>
      </c>
      <c r="G1804" s="147">
        <f t="shared" si="460"/>
        <v>4230</v>
      </c>
      <c r="H1804" s="298">
        <f t="shared" si="452"/>
        <v>100</v>
      </c>
    </row>
    <row r="1805" spans="1:8" s="82" customFormat="1" ht="18.75" hidden="1" x14ac:dyDescent="0.2">
      <c r="A1805" s="28" t="s">
        <v>74</v>
      </c>
      <c r="B1805" s="2" t="s">
        <v>1037</v>
      </c>
      <c r="C1805" s="2" t="s">
        <v>992</v>
      </c>
      <c r="D1805" s="2" t="s">
        <v>1131</v>
      </c>
      <c r="E1805" s="2" t="s">
        <v>75</v>
      </c>
      <c r="F1805" s="10">
        <v>4230</v>
      </c>
      <c r="G1805" s="10">
        <v>4230</v>
      </c>
      <c r="H1805" s="100">
        <f t="shared" si="452"/>
        <v>100</v>
      </c>
    </row>
    <row r="1806" spans="1:8" ht="18.75" x14ac:dyDescent="0.2">
      <c r="A1806" s="155" t="s">
        <v>38</v>
      </c>
      <c r="B1806" s="148" t="s">
        <v>1037</v>
      </c>
      <c r="C1806" s="148" t="s">
        <v>992</v>
      </c>
      <c r="D1806" s="148" t="s">
        <v>197</v>
      </c>
      <c r="E1806" s="141"/>
      <c r="F1806" s="144">
        <f>F1807</f>
        <v>308724</v>
      </c>
      <c r="G1806" s="144">
        <f>G1807</f>
        <v>308724</v>
      </c>
      <c r="H1806" s="298">
        <f t="shared" si="452"/>
        <v>100</v>
      </c>
    </row>
    <row r="1807" spans="1:8" ht="31.5" x14ac:dyDescent="0.2">
      <c r="A1807" s="157" t="s">
        <v>18</v>
      </c>
      <c r="B1807" s="141" t="s">
        <v>1037</v>
      </c>
      <c r="C1807" s="141" t="s">
        <v>992</v>
      </c>
      <c r="D1807" s="141" t="s">
        <v>197</v>
      </c>
      <c r="E1807" s="141" t="s">
        <v>20</v>
      </c>
      <c r="F1807" s="147">
        <f>F1808+F1810</f>
        <v>308724</v>
      </c>
      <c r="G1807" s="147">
        <f>G1808+G1810</f>
        <v>308724</v>
      </c>
      <c r="H1807" s="298">
        <f t="shared" si="452"/>
        <v>100</v>
      </c>
    </row>
    <row r="1808" spans="1:8" ht="18.75" x14ac:dyDescent="0.2">
      <c r="A1808" s="157" t="s">
        <v>24</v>
      </c>
      <c r="B1808" s="141" t="s">
        <v>1037</v>
      </c>
      <c r="C1808" s="141" t="s">
        <v>992</v>
      </c>
      <c r="D1808" s="141" t="s">
        <v>197</v>
      </c>
      <c r="E1808" s="141" t="s">
        <v>25</v>
      </c>
      <c r="F1808" s="147">
        <f>F1809</f>
        <v>150660</v>
      </c>
      <c r="G1808" s="147">
        <f>G1809</f>
        <v>150660</v>
      </c>
      <c r="H1808" s="298">
        <f t="shared" si="452"/>
        <v>100</v>
      </c>
    </row>
    <row r="1809" spans="1:8" s="82" customFormat="1" ht="47.25" hidden="1" x14ac:dyDescent="0.2">
      <c r="A1809" s="28" t="s">
        <v>88</v>
      </c>
      <c r="B1809" s="2" t="s">
        <v>1037</v>
      </c>
      <c r="C1809" s="2" t="s">
        <v>992</v>
      </c>
      <c r="D1809" s="2" t="s">
        <v>197</v>
      </c>
      <c r="E1809" s="2" t="s">
        <v>89</v>
      </c>
      <c r="F1809" s="10">
        <f>159821-9161</f>
        <v>150660</v>
      </c>
      <c r="G1809" s="10">
        <v>150660</v>
      </c>
      <c r="H1809" s="100">
        <f t="shared" si="452"/>
        <v>100</v>
      </c>
    </row>
    <row r="1810" spans="1:8" ht="18.75" x14ac:dyDescent="0.2">
      <c r="A1810" s="157" t="s">
        <v>19</v>
      </c>
      <c r="B1810" s="141" t="s">
        <v>1037</v>
      </c>
      <c r="C1810" s="141" t="s">
        <v>992</v>
      </c>
      <c r="D1810" s="141" t="s">
        <v>197</v>
      </c>
      <c r="E1810" s="141" t="s">
        <v>21</v>
      </c>
      <c r="F1810" s="147">
        <f>F1811</f>
        <v>158064</v>
      </c>
      <c r="G1810" s="147">
        <v>158064</v>
      </c>
      <c r="H1810" s="298">
        <f t="shared" si="452"/>
        <v>100</v>
      </c>
    </row>
    <row r="1811" spans="1:8" s="82" customFormat="1" ht="47.25" hidden="1" x14ac:dyDescent="0.2">
      <c r="A1811" s="28" t="s">
        <v>90</v>
      </c>
      <c r="B1811" s="2" t="s">
        <v>1037</v>
      </c>
      <c r="C1811" s="2" t="s">
        <v>992</v>
      </c>
      <c r="D1811" s="2" t="s">
        <v>197</v>
      </c>
      <c r="E1811" s="2" t="s">
        <v>91</v>
      </c>
      <c r="F1811" s="10">
        <f>159264-1200</f>
        <v>158064</v>
      </c>
      <c r="G1811" s="10">
        <v>159264</v>
      </c>
      <c r="H1811" s="100">
        <f t="shared" si="452"/>
        <v>100.75918615244457</v>
      </c>
    </row>
    <row r="1812" spans="1:8" ht="31.5" x14ac:dyDescent="0.2">
      <c r="A1812" s="292" t="s">
        <v>814</v>
      </c>
      <c r="B1812" s="136" t="s">
        <v>1037</v>
      </c>
      <c r="C1812" s="136" t="s">
        <v>992</v>
      </c>
      <c r="D1812" s="137" t="s">
        <v>817</v>
      </c>
      <c r="E1812" s="136"/>
      <c r="F1812" s="179">
        <f t="shared" ref="F1812:G1816" si="461">F1813</f>
        <v>1400</v>
      </c>
      <c r="G1812" s="147">
        <f t="shared" si="461"/>
        <v>1399.7449999999999</v>
      </c>
      <c r="H1812" s="298">
        <f t="shared" si="452"/>
        <v>99.981785714285706</v>
      </c>
    </row>
    <row r="1813" spans="1:8" ht="31.5" x14ac:dyDescent="0.2">
      <c r="A1813" s="150" t="s">
        <v>18</v>
      </c>
      <c r="B1813" s="141" t="s">
        <v>1037</v>
      </c>
      <c r="C1813" s="141" t="s">
        <v>992</v>
      </c>
      <c r="D1813" s="146" t="s">
        <v>817</v>
      </c>
      <c r="E1813" s="141" t="s">
        <v>20</v>
      </c>
      <c r="F1813" s="160">
        <f>F1814+F1816</f>
        <v>1400</v>
      </c>
      <c r="G1813" s="158">
        <f>G1814+G1816</f>
        <v>1399.7449999999999</v>
      </c>
      <c r="H1813" s="298">
        <f t="shared" si="452"/>
        <v>99.981785714285706</v>
      </c>
    </row>
    <row r="1814" spans="1:8" ht="18.75" x14ac:dyDescent="0.2">
      <c r="A1814" s="150" t="s">
        <v>24</v>
      </c>
      <c r="B1814" s="141" t="s">
        <v>1037</v>
      </c>
      <c r="C1814" s="141" t="s">
        <v>992</v>
      </c>
      <c r="D1814" s="146" t="s">
        <v>817</v>
      </c>
      <c r="E1814" s="141" t="s">
        <v>25</v>
      </c>
      <c r="F1814" s="160">
        <f t="shared" si="461"/>
        <v>400</v>
      </c>
      <c r="G1814" s="158">
        <f t="shared" si="461"/>
        <v>399.745</v>
      </c>
      <c r="H1814" s="298">
        <f t="shared" si="452"/>
        <v>99.936250000000001</v>
      </c>
    </row>
    <row r="1815" spans="1:8" s="82" customFormat="1" ht="18.75" hidden="1" x14ac:dyDescent="0.2">
      <c r="A1815" s="19" t="s">
        <v>72</v>
      </c>
      <c r="B1815" s="2" t="s">
        <v>1037</v>
      </c>
      <c r="C1815" s="2" t="s">
        <v>992</v>
      </c>
      <c r="D1815" s="4" t="s">
        <v>817</v>
      </c>
      <c r="E1815" s="5" t="s">
        <v>73</v>
      </c>
      <c r="F1815" s="62">
        <v>400</v>
      </c>
      <c r="G1815" s="10">
        <v>399.745</v>
      </c>
      <c r="H1815" s="100">
        <f t="shared" si="452"/>
        <v>99.936250000000001</v>
      </c>
    </row>
    <row r="1816" spans="1:8" ht="18.75" x14ac:dyDescent="0.2">
      <c r="A1816" s="157" t="s">
        <v>19</v>
      </c>
      <c r="B1816" s="141" t="s">
        <v>1037</v>
      </c>
      <c r="C1816" s="141" t="s">
        <v>992</v>
      </c>
      <c r="D1816" s="146" t="s">
        <v>817</v>
      </c>
      <c r="E1816" s="141" t="s">
        <v>21</v>
      </c>
      <c r="F1816" s="160">
        <f t="shared" si="461"/>
        <v>1000</v>
      </c>
      <c r="G1816" s="158">
        <f t="shared" si="461"/>
        <v>1000</v>
      </c>
      <c r="H1816" s="298">
        <f t="shared" si="452"/>
        <v>100</v>
      </c>
    </row>
    <row r="1817" spans="1:8" s="82" customFormat="1" ht="18.75" hidden="1" x14ac:dyDescent="0.2">
      <c r="A1817" s="28" t="s">
        <v>74</v>
      </c>
      <c r="B1817" s="2" t="s">
        <v>1037</v>
      </c>
      <c r="C1817" s="2" t="s">
        <v>992</v>
      </c>
      <c r="D1817" s="4" t="s">
        <v>817</v>
      </c>
      <c r="E1817" s="5" t="s">
        <v>75</v>
      </c>
      <c r="F1817" s="62">
        <v>1000</v>
      </c>
      <c r="G1817" s="10">
        <v>1000</v>
      </c>
      <c r="H1817" s="100">
        <f t="shared" si="452"/>
        <v>100</v>
      </c>
    </row>
    <row r="1818" spans="1:8" ht="31.5" x14ac:dyDescent="0.2">
      <c r="A1818" s="132" t="s">
        <v>198</v>
      </c>
      <c r="B1818" s="133" t="s">
        <v>1037</v>
      </c>
      <c r="C1818" s="133" t="s">
        <v>992</v>
      </c>
      <c r="D1818" s="139" t="s">
        <v>199</v>
      </c>
      <c r="E1818" s="161"/>
      <c r="F1818" s="134">
        <f>F1819+F1843+F1876</f>
        <v>83186</v>
      </c>
      <c r="G1818" s="134">
        <f>G1819+G1843+G1876</f>
        <v>82678.064010000002</v>
      </c>
      <c r="H1818" s="298">
        <f t="shared" si="452"/>
        <v>99.389397266366942</v>
      </c>
    </row>
    <row r="1819" spans="1:8" ht="18.75" x14ac:dyDescent="0.2">
      <c r="A1819" s="155" t="s">
        <v>41</v>
      </c>
      <c r="B1819" s="148" t="s">
        <v>1037</v>
      </c>
      <c r="C1819" s="148" t="s">
        <v>992</v>
      </c>
      <c r="D1819" s="142" t="s">
        <v>203</v>
      </c>
      <c r="E1819" s="148"/>
      <c r="F1819" s="144">
        <f>F1820+F1835+F1839</f>
        <v>52108</v>
      </c>
      <c r="G1819" s="144">
        <f>G1820+G1835+G1839</f>
        <v>51634.008099999999</v>
      </c>
      <c r="H1819" s="298">
        <f t="shared" si="452"/>
        <v>99.090366354494506</v>
      </c>
    </row>
    <row r="1820" spans="1:8" ht="18.75" x14ac:dyDescent="0.2">
      <c r="A1820" s="155" t="s">
        <v>46</v>
      </c>
      <c r="B1820" s="148" t="s">
        <v>1037</v>
      </c>
      <c r="C1820" s="148" t="s">
        <v>992</v>
      </c>
      <c r="D1820" s="148" t="s">
        <v>204</v>
      </c>
      <c r="E1820" s="148"/>
      <c r="F1820" s="144">
        <f>F1821+F1824+F1828</f>
        <v>50689</v>
      </c>
      <c r="G1820" s="144">
        <f>G1821+G1824+G1828</f>
        <v>50215.758099999999</v>
      </c>
      <c r="H1820" s="298">
        <f t="shared" si="452"/>
        <v>99.066381463433885</v>
      </c>
    </row>
    <row r="1821" spans="1:8" ht="18.75" x14ac:dyDescent="0.2">
      <c r="A1821" s="157" t="s">
        <v>871</v>
      </c>
      <c r="B1821" s="141" t="s">
        <v>1037</v>
      </c>
      <c r="C1821" s="141" t="s">
        <v>992</v>
      </c>
      <c r="D1821" s="141" t="s">
        <v>204</v>
      </c>
      <c r="E1821" s="141" t="s">
        <v>15</v>
      </c>
      <c r="F1821" s="147">
        <f t="shared" ref="F1821:G1822" si="462">F1822</f>
        <v>35325</v>
      </c>
      <c r="G1821" s="147">
        <f t="shared" si="462"/>
        <v>34944.782149999999</v>
      </c>
      <c r="H1821" s="298">
        <f t="shared" si="452"/>
        <v>98.923657891012027</v>
      </c>
    </row>
    <row r="1822" spans="1:8" ht="31.5" x14ac:dyDescent="0.2">
      <c r="A1822" s="157" t="s">
        <v>17</v>
      </c>
      <c r="B1822" s="141" t="s">
        <v>1037</v>
      </c>
      <c r="C1822" s="141" t="s">
        <v>992</v>
      </c>
      <c r="D1822" s="141" t="s">
        <v>204</v>
      </c>
      <c r="E1822" s="141" t="s">
        <v>16</v>
      </c>
      <c r="F1822" s="147">
        <f t="shared" si="462"/>
        <v>35325</v>
      </c>
      <c r="G1822" s="147">
        <f t="shared" si="462"/>
        <v>34944.782149999999</v>
      </c>
      <c r="H1822" s="298">
        <f t="shared" si="452"/>
        <v>98.923657891012027</v>
      </c>
    </row>
    <row r="1823" spans="1:8" s="82" customFormat="1" ht="18.75" hidden="1" x14ac:dyDescent="0.2">
      <c r="A1823" s="3" t="s">
        <v>548</v>
      </c>
      <c r="B1823" s="2" t="s">
        <v>1037</v>
      </c>
      <c r="C1823" s="2" t="s">
        <v>992</v>
      </c>
      <c r="D1823" s="2" t="s">
        <v>204</v>
      </c>
      <c r="E1823" s="2" t="s">
        <v>67</v>
      </c>
      <c r="F1823" s="10">
        <f>37948-2300-1830-344+2878-578-114-40-2764-100+4000-643-762-26</f>
        <v>35325</v>
      </c>
      <c r="G1823" s="10">
        <v>34944.782149999999</v>
      </c>
      <c r="H1823" s="100">
        <f t="shared" ref="H1823:H1881" si="463">G1823/F1823*100</f>
        <v>98.923657891012027</v>
      </c>
    </row>
    <row r="1824" spans="1:8" ht="18.75" x14ac:dyDescent="0.2">
      <c r="A1824" s="157" t="s">
        <v>22</v>
      </c>
      <c r="B1824" s="141" t="s">
        <v>1037</v>
      </c>
      <c r="C1824" s="141" t="s">
        <v>992</v>
      </c>
      <c r="D1824" s="141" t="s">
        <v>204</v>
      </c>
      <c r="E1824" s="141" t="s">
        <v>23</v>
      </c>
      <c r="F1824" s="147">
        <f>F1825+F1827+F1826</f>
        <v>384</v>
      </c>
      <c r="G1824" s="147">
        <f>G1825+G1827+G1826</f>
        <v>298.48500000000001</v>
      </c>
      <c r="H1824" s="298">
        <f t="shared" si="463"/>
        <v>77.73046875</v>
      </c>
    </row>
    <row r="1825" spans="1:8" ht="18.75" x14ac:dyDescent="0.2">
      <c r="A1825" s="157" t="s">
        <v>784</v>
      </c>
      <c r="B1825" s="141" t="s">
        <v>1037</v>
      </c>
      <c r="C1825" s="141" t="s">
        <v>992</v>
      </c>
      <c r="D1825" s="141" t="s">
        <v>204</v>
      </c>
      <c r="E1825" s="141" t="s">
        <v>782</v>
      </c>
      <c r="F1825" s="147">
        <v>30</v>
      </c>
      <c r="G1825" s="147">
        <v>30</v>
      </c>
      <c r="H1825" s="298">
        <f t="shared" si="463"/>
        <v>100</v>
      </c>
    </row>
    <row r="1826" spans="1:8" ht="18.75" x14ac:dyDescent="0.2">
      <c r="A1826" s="145" t="s">
        <v>58</v>
      </c>
      <c r="B1826" s="141" t="s">
        <v>1037</v>
      </c>
      <c r="C1826" s="141" t="s">
        <v>992</v>
      </c>
      <c r="D1826" s="141" t="s">
        <v>204</v>
      </c>
      <c r="E1826" s="141" t="s">
        <v>59</v>
      </c>
      <c r="F1826" s="147">
        <v>40</v>
      </c>
      <c r="G1826" s="147">
        <v>40</v>
      </c>
      <c r="H1826" s="298">
        <f t="shared" si="463"/>
        <v>100</v>
      </c>
    </row>
    <row r="1827" spans="1:8" ht="18.75" x14ac:dyDescent="0.2">
      <c r="A1827" s="145" t="s">
        <v>448</v>
      </c>
      <c r="B1827" s="141" t="s">
        <v>1037</v>
      </c>
      <c r="C1827" s="141" t="s">
        <v>992</v>
      </c>
      <c r="D1827" s="141" t="s">
        <v>204</v>
      </c>
      <c r="E1827" s="141" t="s">
        <v>447</v>
      </c>
      <c r="F1827" s="147">
        <f>344-30</f>
        <v>314</v>
      </c>
      <c r="G1827" s="147">
        <v>228.48500000000001</v>
      </c>
      <c r="H1827" s="298">
        <f t="shared" si="463"/>
        <v>72.765923566878982</v>
      </c>
    </row>
    <row r="1828" spans="1:8" ht="31.5" x14ac:dyDescent="0.2">
      <c r="A1828" s="157" t="s">
        <v>18</v>
      </c>
      <c r="B1828" s="141" t="s">
        <v>1037</v>
      </c>
      <c r="C1828" s="141" t="s">
        <v>992</v>
      </c>
      <c r="D1828" s="141" t="s">
        <v>204</v>
      </c>
      <c r="E1828" s="141" t="s">
        <v>20</v>
      </c>
      <c r="F1828" s="147">
        <f>F1829+F1831+F1833</f>
        <v>14980</v>
      </c>
      <c r="G1828" s="147">
        <f>G1829+G1831+G1833</f>
        <v>14972.490949999999</v>
      </c>
      <c r="H1828" s="298">
        <f t="shared" si="463"/>
        <v>99.949872830440583</v>
      </c>
    </row>
    <row r="1829" spans="1:8" ht="18.75" x14ac:dyDescent="0.2">
      <c r="A1829" s="157" t="s">
        <v>24</v>
      </c>
      <c r="B1829" s="141" t="s">
        <v>1037</v>
      </c>
      <c r="C1829" s="141" t="s">
        <v>992</v>
      </c>
      <c r="D1829" s="141" t="s">
        <v>204</v>
      </c>
      <c r="E1829" s="141" t="s">
        <v>25</v>
      </c>
      <c r="F1829" s="147">
        <f>F1830</f>
        <v>200</v>
      </c>
      <c r="G1829" s="147">
        <f>G1830</f>
        <v>192.75</v>
      </c>
      <c r="H1829" s="298">
        <f t="shared" si="463"/>
        <v>96.375</v>
      </c>
    </row>
    <row r="1830" spans="1:8" s="82" customFormat="1" ht="18.75" hidden="1" x14ac:dyDescent="0.2">
      <c r="A1830" s="28" t="s">
        <v>72</v>
      </c>
      <c r="B1830" s="2" t="s">
        <v>1037</v>
      </c>
      <c r="C1830" s="2" t="s">
        <v>992</v>
      </c>
      <c r="D1830" s="2" t="s">
        <v>204</v>
      </c>
      <c r="E1830" s="2" t="s">
        <v>73</v>
      </c>
      <c r="F1830" s="10">
        <v>200</v>
      </c>
      <c r="G1830" s="10">
        <v>192.75</v>
      </c>
      <c r="H1830" s="100">
        <f t="shared" si="463"/>
        <v>96.375</v>
      </c>
    </row>
    <row r="1831" spans="1:8" ht="18.75" x14ac:dyDescent="0.2">
      <c r="A1831" s="157" t="s">
        <v>19</v>
      </c>
      <c r="B1831" s="141" t="s">
        <v>1037</v>
      </c>
      <c r="C1831" s="141" t="s">
        <v>992</v>
      </c>
      <c r="D1831" s="141" t="s">
        <v>204</v>
      </c>
      <c r="E1831" s="141" t="s">
        <v>21</v>
      </c>
      <c r="F1831" s="147">
        <f>F1832</f>
        <v>150</v>
      </c>
      <c r="G1831" s="147">
        <f>G1832</f>
        <v>150</v>
      </c>
      <c r="H1831" s="298">
        <f t="shared" si="463"/>
        <v>100</v>
      </c>
    </row>
    <row r="1832" spans="1:8" s="82" customFormat="1" ht="18.75" hidden="1" x14ac:dyDescent="0.2">
      <c r="A1832" s="28" t="s">
        <v>74</v>
      </c>
      <c r="B1832" s="2" t="s">
        <v>1037</v>
      </c>
      <c r="C1832" s="2" t="s">
        <v>992</v>
      </c>
      <c r="D1832" s="2" t="s">
        <v>204</v>
      </c>
      <c r="E1832" s="2" t="s">
        <v>75</v>
      </c>
      <c r="F1832" s="10">
        <f>50+100</f>
        <v>150</v>
      </c>
      <c r="G1832" s="10">
        <v>150</v>
      </c>
      <c r="H1832" s="100">
        <f t="shared" si="463"/>
        <v>100</v>
      </c>
    </row>
    <row r="1833" spans="1:8" ht="31.5" x14ac:dyDescent="0.2">
      <c r="A1833" s="157" t="s">
        <v>26</v>
      </c>
      <c r="B1833" s="141" t="s">
        <v>1037</v>
      </c>
      <c r="C1833" s="141" t="s">
        <v>992</v>
      </c>
      <c r="D1833" s="141" t="s">
        <v>204</v>
      </c>
      <c r="E1833" s="141" t="s">
        <v>0</v>
      </c>
      <c r="F1833" s="147">
        <f>F1834</f>
        <v>14630</v>
      </c>
      <c r="G1833" s="147">
        <f>G1834</f>
        <v>14629.740949999999</v>
      </c>
      <c r="H1833" s="298">
        <f t="shared" si="463"/>
        <v>99.998229323308266</v>
      </c>
    </row>
    <row r="1834" spans="1:8" s="82" customFormat="1" ht="31.5" hidden="1" x14ac:dyDescent="0.2">
      <c r="A1834" s="3" t="s">
        <v>875</v>
      </c>
      <c r="B1834" s="2" t="s">
        <v>1037</v>
      </c>
      <c r="C1834" s="2" t="s">
        <v>992</v>
      </c>
      <c r="D1834" s="2" t="s">
        <v>204</v>
      </c>
      <c r="E1834" s="2" t="s">
        <v>472</v>
      </c>
      <c r="F1834" s="10">
        <f>5100+4130+5400</f>
        <v>14630</v>
      </c>
      <c r="G1834" s="10">
        <v>14629.740949999999</v>
      </c>
      <c r="H1834" s="100">
        <f t="shared" si="463"/>
        <v>99.998229323308266</v>
      </c>
    </row>
    <row r="1835" spans="1:8" ht="18.75" x14ac:dyDescent="0.2">
      <c r="A1835" s="155" t="s">
        <v>1132</v>
      </c>
      <c r="B1835" s="141" t="s">
        <v>1037</v>
      </c>
      <c r="C1835" s="141" t="s">
        <v>992</v>
      </c>
      <c r="D1835" s="148" t="s">
        <v>656</v>
      </c>
      <c r="E1835" s="141"/>
      <c r="F1835" s="144">
        <f>F1836</f>
        <v>1000</v>
      </c>
      <c r="G1835" s="144">
        <f>G1836</f>
        <v>1000</v>
      </c>
      <c r="H1835" s="298">
        <f t="shared" si="463"/>
        <v>100</v>
      </c>
    </row>
    <row r="1836" spans="1:8" ht="31.5" x14ac:dyDescent="0.2">
      <c r="A1836" s="157" t="s">
        <v>18</v>
      </c>
      <c r="B1836" s="141" t="s">
        <v>1037</v>
      </c>
      <c r="C1836" s="141" t="s">
        <v>992</v>
      </c>
      <c r="D1836" s="141" t="s">
        <v>656</v>
      </c>
      <c r="E1836" s="141" t="s">
        <v>20</v>
      </c>
      <c r="F1836" s="147">
        <f t="shared" ref="F1836:G1837" si="464">F1837</f>
        <v>1000</v>
      </c>
      <c r="G1836" s="147">
        <f t="shared" si="464"/>
        <v>1000</v>
      </c>
      <c r="H1836" s="298">
        <f t="shared" si="463"/>
        <v>100</v>
      </c>
    </row>
    <row r="1837" spans="1:8" ht="31.5" x14ac:dyDescent="0.2">
      <c r="A1837" s="157" t="s">
        <v>26</v>
      </c>
      <c r="B1837" s="141" t="s">
        <v>1037</v>
      </c>
      <c r="C1837" s="141" t="s">
        <v>992</v>
      </c>
      <c r="D1837" s="141" t="s">
        <v>656</v>
      </c>
      <c r="E1837" s="141" t="s">
        <v>0</v>
      </c>
      <c r="F1837" s="147">
        <f t="shared" si="464"/>
        <v>1000</v>
      </c>
      <c r="G1837" s="147">
        <f t="shared" si="464"/>
        <v>1000</v>
      </c>
      <c r="H1837" s="298">
        <f t="shared" si="463"/>
        <v>100</v>
      </c>
    </row>
    <row r="1838" spans="1:8" s="82" customFormat="1" ht="31.5" hidden="1" x14ac:dyDescent="0.2">
      <c r="A1838" s="3" t="s">
        <v>875</v>
      </c>
      <c r="B1838" s="2" t="s">
        <v>1037</v>
      </c>
      <c r="C1838" s="2" t="s">
        <v>992</v>
      </c>
      <c r="D1838" s="2" t="s">
        <v>656</v>
      </c>
      <c r="E1838" s="2" t="s">
        <v>472</v>
      </c>
      <c r="F1838" s="10">
        <v>1000</v>
      </c>
      <c r="G1838" s="10">
        <v>1000</v>
      </c>
      <c r="H1838" s="100">
        <f t="shared" si="463"/>
        <v>100</v>
      </c>
    </row>
    <row r="1839" spans="1:8" ht="31.5" x14ac:dyDescent="0.2">
      <c r="A1839" s="155" t="s">
        <v>622</v>
      </c>
      <c r="B1839" s="141" t="s">
        <v>1037</v>
      </c>
      <c r="C1839" s="141" t="s">
        <v>992</v>
      </c>
      <c r="D1839" s="148" t="s">
        <v>621</v>
      </c>
      <c r="E1839" s="141"/>
      <c r="F1839" s="144">
        <f>F1840</f>
        <v>419</v>
      </c>
      <c r="G1839" s="144">
        <f>G1840</f>
        <v>418.25</v>
      </c>
      <c r="H1839" s="298">
        <f t="shared" si="463"/>
        <v>99.821002386634845</v>
      </c>
    </row>
    <row r="1840" spans="1:8" ht="18.75" x14ac:dyDescent="0.2">
      <c r="A1840" s="157" t="s">
        <v>871</v>
      </c>
      <c r="B1840" s="141" t="s">
        <v>1037</v>
      </c>
      <c r="C1840" s="141" t="s">
        <v>992</v>
      </c>
      <c r="D1840" s="141" t="s">
        <v>621</v>
      </c>
      <c r="E1840" s="141" t="s">
        <v>15</v>
      </c>
      <c r="F1840" s="147">
        <f t="shared" ref="F1840:G1841" si="465">F1841</f>
        <v>419</v>
      </c>
      <c r="G1840" s="147">
        <f t="shared" si="465"/>
        <v>418.25</v>
      </c>
      <c r="H1840" s="298">
        <f t="shared" si="463"/>
        <v>99.821002386634845</v>
      </c>
    </row>
    <row r="1841" spans="1:8" ht="31.5" x14ac:dyDescent="0.2">
      <c r="A1841" s="157" t="s">
        <v>17</v>
      </c>
      <c r="B1841" s="141" t="s">
        <v>1037</v>
      </c>
      <c r="C1841" s="141" t="s">
        <v>992</v>
      </c>
      <c r="D1841" s="141" t="s">
        <v>621</v>
      </c>
      <c r="E1841" s="141" t="s">
        <v>16</v>
      </c>
      <c r="F1841" s="147">
        <f t="shared" si="465"/>
        <v>419</v>
      </c>
      <c r="G1841" s="147">
        <f t="shared" si="465"/>
        <v>418.25</v>
      </c>
      <c r="H1841" s="298">
        <f t="shared" si="463"/>
        <v>99.821002386634845</v>
      </c>
    </row>
    <row r="1842" spans="1:8" s="82" customFormat="1" ht="18.75" hidden="1" x14ac:dyDescent="0.2">
      <c r="A1842" s="3" t="s">
        <v>548</v>
      </c>
      <c r="B1842" s="2" t="s">
        <v>1037</v>
      </c>
      <c r="C1842" s="2" t="s">
        <v>992</v>
      </c>
      <c r="D1842" s="2" t="s">
        <v>621</v>
      </c>
      <c r="E1842" s="2" t="s">
        <v>67</v>
      </c>
      <c r="F1842" s="10">
        <f>550-131</f>
        <v>419</v>
      </c>
      <c r="G1842" s="10">
        <v>418.25</v>
      </c>
      <c r="H1842" s="100">
        <f t="shared" si="463"/>
        <v>99.821002386634845</v>
      </c>
    </row>
    <row r="1843" spans="1:8" ht="18.75" x14ac:dyDescent="0.2">
      <c r="A1843" s="155" t="s">
        <v>122</v>
      </c>
      <c r="B1843" s="141" t="s">
        <v>1037</v>
      </c>
      <c r="C1843" s="141" t="s">
        <v>992</v>
      </c>
      <c r="D1843" s="142" t="s">
        <v>205</v>
      </c>
      <c r="E1843" s="148"/>
      <c r="F1843" s="144">
        <f>F1844+F1848+F1852+F1856+F1860+F1864+F1868+F1872</f>
        <v>31028</v>
      </c>
      <c r="G1843" s="144">
        <f>G1844+G1848+G1852+G1856+G1860+G1864+G1868+G1872</f>
        <v>30994.055909999999</v>
      </c>
      <c r="H1843" s="298">
        <f t="shared" si="463"/>
        <v>99.890601746809324</v>
      </c>
    </row>
    <row r="1844" spans="1:8" ht="31.5" x14ac:dyDescent="0.2">
      <c r="A1844" s="155" t="s">
        <v>496</v>
      </c>
      <c r="B1844" s="148" t="s">
        <v>1037</v>
      </c>
      <c r="C1844" s="148" t="s">
        <v>992</v>
      </c>
      <c r="D1844" s="148" t="s">
        <v>206</v>
      </c>
      <c r="E1844" s="148"/>
      <c r="F1844" s="144">
        <f t="shared" ref="F1844:G1846" si="466">F1845</f>
        <v>136</v>
      </c>
      <c r="G1844" s="144">
        <f t="shared" si="466"/>
        <v>135.9</v>
      </c>
      <c r="H1844" s="298">
        <f t="shared" si="463"/>
        <v>99.92647058823529</v>
      </c>
    </row>
    <row r="1845" spans="1:8" ht="31.5" x14ac:dyDescent="0.2">
      <c r="A1845" s="157" t="s">
        <v>18</v>
      </c>
      <c r="B1845" s="141" t="s">
        <v>1037</v>
      </c>
      <c r="C1845" s="141" t="s">
        <v>988</v>
      </c>
      <c r="D1845" s="141" t="s">
        <v>206</v>
      </c>
      <c r="E1845" s="141" t="s">
        <v>20</v>
      </c>
      <c r="F1845" s="147">
        <f t="shared" si="466"/>
        <v>136</v>
      </c>
      <c r="G1845" s="147">
        <f t="shared" si="466"/>
        <v>135.9</v>
      </c>
      <c r="H1845" s="298">
        <f t="shared" si="463"/>
        <v>99.92647058823529</v>
      </c>
    </row>
    <row r="1846" spans="1:8" ht="18.75" x14ac:dyDescent="0.2">
      <c r="A1846" s="157" t="s">
        <v>19</v>
      </c>
      <c r="B1846" s="141" t="s">
        <v>1037</v>
      </c>
      <c r="C1846" s="141" t="s">
        <v>992</v>
      </c>
      <c r="D1846" s="141" t="s">
        <v>206</v>
      </c>
      <c r="E1846" s="141" t="s">
        <v>21</v>
      </c>
      <c r="F1846" s="147">
        <f t="shared" si="466"/>
        <v>136</v>
      </c>
      <c r="G1846" s="147">
        <f t="shared" si="466"/>
        <v>135.9</v>
      </c>
      <c r="H1846" s="298">
        <f t="shared" si="463"/>
        <v>99.92647058823529</v>
      </c>
    </row>
    <row r="1847" spans="1:8" s="82" customFormat="1" ht="18.75" hidden="1" x14ac:dyDescent="0.2">
      <c r="A1847" s="28" t="s">
        <v>74</v>
      </c>
      <c r="B1847" s="2" t="s">
        <v>1037</v>
      </c>
      <c r="C1847" s="2" t="s">
        <v>992</v>
      </c>
      <c r="D1847" s="2" t="s">
        <v>206</v>
      </c>
      <c r="E1847" s="2" t="s">
        <v>75</v>
      </c>
      <c r="F1847" s="10">
        <f>2000-1864</f>
        <v>136</v>
      </c>
      <c r="G1847" s="10">
        <v>135.9</v>
      </c>
      <c r="H1847" s="100">
        <f t="shared" si="463"/>
        <v>99.92647058823529</v>
      </c>
    </row>
    <row r="1848" spans="1:8" ht="31.5" x14ac:dyDescent="0.2">
      <c r="A1848" s="155" t="s">
        <v>1074</v>
      </c>
      <c r="B1848" s="148" t="s">
        <v>1037</v>
      </c>
      <c r="C1848" s="148" t="s">
        <v>992</v>
      </c>
      <c r="D1848" s="148" t="s">
        <v>497</v>
      </c>
      <c r="E1848" s="148"/>
      <c r="F1848" s="144">
        <f t="shared" ref="F1848:G1854" si="467">F1849</f>
        <v>8138</v>
      </c>
      <c r="G1848" s="144">
        <f t="shared" si="467"/>
        <v>8137.2559099999999</v>
      </c>
      <c r="H1848" s="298">
        <f t="shared" si="463"/>
        <v>99.990856598672892</v>
      </c>
    </row>
    <row r="1849" spans="1:8" ht="31.5" x14ac:dyDescent="0.2">
      <c r="A1849" s="157" t="s">
        <v>493</v>
      </c>
      <c r="B1849" s="141" t="s">
        <v>1037</v>
      </c>
      <c r="C1849" s="141" t="s">
        <v>992</v>
      </c>
      <c r="D1849" s="141" t="s">
        <v>497</v>
      </c>
      <c r="E1849" s="141" t="s">
        <v>34</v>
      </c>
      <c r="F1849" s="147">
        <f t="shared" si="467"/>
        <v>8138</v>
      </c>
      <c r="G1849" s="147">
        <f t="shared" si="467"/>
        <v>8137.2559099999999</v>
      </c>
      <c r="H1849" s="298">
        <f t="shared" si="463"/>
        <v>99.990856598672892</v>
      </c>
    </row>
    <row r="1850" spans="1:8" ht="18.75" x14ac:dyDescent="0.2">
      <c r="A1850" s="157" t="s">
        <v>33</v>
      </c>
      <c r="B1850" s="141" t="s">
        <v>1037</v>
      </c>
      <c r="C1850" s="141" t="s">
        <v>992</v>
      </c>
      <c r="D1850" s="141" t="s">
        <v>497</v>
      </c>
      <c r="E1850" s="141" t="s">
        <v>129</v>
      </c>
      <c r="F1850" s="147">
        <f t="shared" si="467"/>
        <v>8138</v>
      </c>
      <c r="G1850" s="147">
        <f t="shared" si="467"/>
        <v>8137.2559099999999</v>
      </c>
      <c r="H1850" s="298">
        <f t="shared" si="463"/>
        <v>99.990856598672892</v>
      </c>
    </row>
    <row r="1851" spans="1:8" s="82" customFormat="1" ht="31.5" hidden="1" x14ac:dyDescent="0.2">
      <c r="A1851" s="28" t="s">
        <v>84</v>
      </c>
      <c r="B1851" s="2" t="s">
        <v>1037</v>
      </c>
      <c r="C1851" s="2" t="s">
        <v>992</v>
      </c>
      <c r="D1851" s="2" t="s">
        <v>497</v>
      </c>
      <c r="E1851" s="2" t="s">
        <v>85</v>
      </c>
      <c r="F1851" s="10">
        <f>30000-1500-19800-562</f>
        <v>8138</v>
      </c>
      <c r="G1851" s="10">
        <v>8137.2559099999999</v>
      </c>
      <c r="H1851" s="100">
        <f t="shared" si="463"/>
        <v>99.990856598672892</v>
      </c>
    </row>
    <row r="1852" spans="1:8" ht="47.25" x14ac:dyDescent="0.2">
      <c r="A1852" s="155" t="s">
        <v>1075</v>
      </c>
      <c r="B1852" s="148" t="s">
        <v>1037</v>
      </c>
      <c r="C1852" s="148" t="s">
        <v>992</v>
      </c>
      <c r="D1852" s="148" t="s">
        <v>946</v>
      </c>
      <c r="E1852" s="148"/>
      <c r="F1852" s="144">
        <f t="shared" si="467"/>
        <v>3592</v>
      </c>
      <c r="G1852" s="144">
        <f t="shared" si="467"/>
        <v>3565</v>
      </c>
      <c r="H1852" s="298">
        <f t="shared" si="463"/>
        <v>99.248329621380847</v>
      </c>
    </row>
    <row r="1853" spans="1:8" ht="31.5" x14ac:dyDescent="0.2">
      <c r="A1853" s="157" t="s">
        <v>493</v>
      </c>
      <c r="B1853" s="141" t="s">
        <v>1037</v>
      </c>
      <c r="C1853" s="141" t="s">
        <v>992</v>
      </c>
      <c r="D1853" s="141" t="s">
        <v>946</v>
      </c>
      <c r="E1853" s="141" t="s">
        <v>34</v>
      </c>
      <c r="F1853" s="147">
        <f t="shared" si="467"/>
        <v>3592</v>
      </c>
      <c r="G1853" s="147">
        <f t="shared" si="467"/>
        <v>3565</v>
      </c>
      <c r="H1853" s="298">
        <f t="shared" si="463"/>
        <v>99.248329621380847</v>
      </c>
    </row>
    <row r="1854" spans="1:8" ht="18.75" x14ac:dyDescent="0.2">
      <c r="A1854" s="157" t="s">
        <v>33</v>
      </c>
      <c r="B1854" s="141" t="s">
        <v>1037</v>
      </c>
      <c r="C1854" s="141" t="s">
        <v>992</v>
      </c>
      <c r="D1854" s="141" t="s">
        <v>946</v>
      </c>
      <c r="E1854" s="141" t="s">
        <v>129</v>
      </c>
      <c r="F1854" s="147">
        <f t="shared" si="467"/>
        <v>3592</v>
      </c>
      <c r="G1854" s="147">
        <f t="shared" si="467"/>
        <v>3565</v>
      </c>
      <c r="H1854" s="298">
        <f t="shared" si="463"/>
        <v>99.248329621380847</v>
      </c>
    </row>
    <row r="1855" spans="1:8" s="82" customFormat="1" ht="31.5" hidden="1" x14ac:dyDescent="0.2">
      <c r="A1855" s="28" t="s">
        <v>84</v>
      </c>
      <c r="B1855" s="2" t="s">
        <v>1037</v>
      </c>
      <c r="C1855" s="2" t="s">
        <v>992</v>
      </c>
      <c r="D1855" s="2" t="s">
        <v>946</v>
      </c>
      <c r="E1855" s="2" t="s">
        <v>85</v>
      </c>
      <c r="F1855" s="10">
        <f>3700-92-16</f>
        <v>3592</v>
      </c>
      <c r="G1855" s="10">
        <v>3565</v>
      </c>
      <c r="H1855" s="100">
        <f t="shared" si="463"/>
        <v>99.248329621380847</v>
      </c>
    </row>
    <row r="1856" spans="1:8" ht="18.75" x14ac:dyDescent="0.2">
      <c r="A1856" s="155" t="s">
        <v>783</v>
      </c>
      <c r="B1856" s="148" t="s">
        <v>1037</v>
      </c>
      <c r="C1856" s="148" t="s">
        <v>988</v>
      </c>
      <c r="D1856" s="148" t="s">
        <v>780</v>
      </c>
      <c r="E1856" s="148"/>
      <c r="F1856" s="144">
        <f>F1857</f>
        <v>100</v>
      </c>
      <c r="G1856" s="144">
        <f>G1857</f>
        <v>93.9</v>
      </c>
      <c r="H1856" s="298">
        <f t="shared" si="463"/>
        <v>93.9</v>
      </c>
    </row>
    <row r="1857" spans="1:8" ht="31.5" x14ac:dyDescent="0.2">
      <c r="A1857" s="157" t="s">
        <v>18</v>
      </c>
      <c r="B1857" s="141" t="s">
        <v>1037</v>
      </c>
      <c r="C1857" s="141" t="s">
        <v>988</v>
      </c>
      <c r="D1857" s="141" t="s">
        <v>780</v>
      </c>
      <c r="E1857" s="141" t="s">
        <v>20</v>
      </c>
      <c r="F1857" s="147">
        <f t="shared" ref="F1857:F1858" si="468">F1858</f>
        <v>100</v>
      </c>
      <c r="G1857" s="147">
        <f>G1858</f>
        <v>93.9</v>
      </c>
      <c r="H1857" s="298">
        <f t="shared" si="463"/>
        <v>93.9</v>
      </c>
    </row>
    <row r="1858" spans="1:8" ht="18.75" x14ac:dyDescent="0.2">
      <c r="A1858" s="157" t="s">
        <v>19</v>
      </c>
      <c r="B1858" s="141" t="s">
        <v>1037</v>
      </c>
      <c r="C1858" s="141" t="s">
        <v>992</v>
      </c>
      <c r="D1858" s="141" t="s">
        <v>780</v>
      </c>
      <c r="E1858" s="141" t="s">
        <v>21</v>
      </c>
      <c r="F1858" s="147">
        <f t="shared" si="468"/>
        <v>100</v>
      </c>
      <c r="G1858" s="147">
        <f>G1859</f>
        <v>93.9</v>
      </c>
      <c r="H1858" s="298">
        <f t="shared" si="463"/>
        <v>93.9</v>
      </c>
    </row>
    <row r="1859" spans="1:8" s="82" customFormat="1" ht="18.75" hidden="1" x14ac:dyDescent="0.2">
      <c r="A1859" s="28" t="s">
        <v>74</v>
      </c>
      <c r="B1859" s="2" t="s">
        <v>1037</v>
      </c>
      <c r="C1859" s="2" t="s">
        <v>992</v>
      </c>
      <c r="D1859" s="2" t="s">
        <v>780</v>
      </c>
      <c r="E1859" s="2" t="s">
        <v>75</v>
      </c>
      <c r="F1859" s="10">
        <v>100</v>
      </c>
      <c r="G1859" s="10">
        <v>93.9</v>
      </c>
      <c r="H1859" s="100">
        <f t="shared" si="463"/>
        <v>93.9</v>
      </c>
    </row>
    <row r="1860" spans="1:8" ht="18.75" x14ac:dyDescent="0.2">
      <c r="A1860" s="155" t="s">
        <v>499</v>
      </c>
      <c r="B1860" s="148" t="s">
        <v>1037</v>
      </c>
      <c r="C1860" s="148" t="s">
        <v>992</v>
      </c>
      <c r="D1860" s="148" t="s">
        <v>498</v>
      </c>
      <c r="E1860" s="148"/>
      <c r="F1860" s="144">
        <f t="shared" ref="F1860:G1861" si="469">F1861</f>
        <v>200</v>
      </c>
      <c r="G1860" s="144">
        <f t="shared" si="469"/>
        <v>200</v>
      </c>
      <c r="H1860" s="298">
        <f t="shared" si="463"/>
        <v>100</v>
      </c>
    </row>
    <row r="1861" spans="1:8" ht="31.5" x14ac:dyDescent="0.2">
      <c r="A1861" s="157" t="s">
        <v>18</v>
      </c>
      <c r="B1861" s="141" t="s">
        <v>1037</v>
      </c>
      <c r="C1861" s="141" t="s">
        <v>992</v>
      </c>
      <c r="D1861" s="141" t="s">
        <v>498</v>
      </c>
      <c r="E1861" s="141" t="s">
        <v>20</v>
      </c>
      <c r="F1861" s="147">
        <f t="shared" si="469"/>
        <v>200</v>
      </c>
      <c r="G1861" s="147">
        <f t="shared" si="469"/>
        <v>200</v>
      </c>
      <c r="H1861" s="298">
        <f t="shared" si="463"/>
        <v>100</v>
      </c>
    </row>
    <row r="1862" spans="1:8" ht="18.75" x14ac:dyDescent="0.2">
      <c r="A1862" s="157" t="s">
        <v>19</v>
      </c>
      <c r="B1862" s="141" t="s">
        <v>1037</v>
      </c>
      <c r="C1862" s="141" t="s">
        <v>992</v>
      </c>
      <c r="D1862" s="141" t="s">
        <v>498</v>
      </c>
      <c r="E1862" s="141" t="s">
        <v>21</v>
      </c>
      <c r="F1862" s="147">
        <f>F1863</f>
        <v>200</v>
      </c>
      <c r="G1862" s="147">
        <f>G1863</f>
        <v>200</v>
      </c>
      <c r="H1862" s="298">
        <f t="shared" si="463"/>
        <v>100</v>
      </c>
    </row>
    <row r="1863" spans="1:8" s="82" customFormat="1" ht="18.75" hidden="1" x14ac:dyDescent="0.2">
      <c r="A1863" s="28" t="s">
        <v>74</v>
      </c>
      <c r="B1863" s="2" t="s">
        <v>1037</v>
      </c>
      <c r="C1863" s="2" t="s">
        <v>992</v>
      </c>
      <c r="D1863" s="2" t="s">
        <v>498</v>
      </c>
      <c r="E1863" s="2" t="s">
        <v>75</v>
      </c>
      <c r="F1863" s="10">
        <v>200</v>
      </c>
      <c r="G1863" s="10">
        <v>200</v>
      </c>
      <c r="H1863" s="100">
        <f t="shared" si="463"/>
        <v>100</v>
      </c>
    </row>
    <row r="1864" spans="1:8" ht="47.25" x14ac:dyDescent="0.2">
      <c r="A1864" s="155" t="s">
        <v>1076</v>
      </c>
      <c r="B1864" s="148" t="s">
        <v>1037</v>
      </c>
      <c r="C1864" s="148" t="s">
        <v>992</v>
      </c>
      <c r="D1864" s="148" t="s">
        <v>947</v>
      </c>
      <c r="E1864" s="148"/>
      <c r="F1864" s="144">
        <f t="shared" ref="F1864:G1866" si="470">F1865</f>
        <v>580</v>
      </c>
      <c r="G1864" s="144">
        <f t="shared" si="470"/>
        <v>580</v>
      </c>
      <c r="H1864" s="298">
        <f t="shared" si="463"/>
        <v>100</v>
      </c>
    </row>
    <row r="1865" spans="1:8" ht="31.5" x14ac:dyDescent="0.2">
      <c r="A1865" s="157" t="s">
        <v>493</v>
      </c>
      <c r="B1865" s="141" t="s">
        <v>1037</v>
      </c>
      <c r="C1865" s="141" t="s">
        <v>992</v>
      </c>
      <c r="D1865" s="141" t="s">
        <v>947</v>
      </c>
      <c r="E1865" s="141" t="s">
        <v>34</v>
      </c>
      <c r="F1865" s="147">
        <f t="shared" si="470"/>
        <v>580</v>
      </c>
      <c r="G1865" s="147">
        <f t="shared" si="470"/>
        <v>580</v>
      </c>
      <c r="H1865" s="131">
        <f t="shared" si="463"/>
        <v>100</v>
      </c>
    </row>
    <row r="1866" spans="1:8" ht="18.75" x14ac:dyDescent="0.2">
      <c r="A1866" s="157" t="s">
        <v>33</v>
      </c>
      <c r="B1866" s="141" t="s">
        <v>1037</v>
      </c>
      <c r="C1866" s="141" t="s">
        <v>992</v>
      </c>
      <c r="D1866" s="141" t="s">
        <v>947</v>
      </c>
      <c r="E1866" s="141" t="s">
        <v>129</v>
      </c>
      <c r="F1866" s="147">
        <f t="shared" si="470"/>
        <v>580</v>
      </c>
      <c r="G1866" s="147">
        <f t="shared" si="470"/>
        <v>580</v>
      </c>
      <c r="H1866" s="131">
        <f t="shared" si="463"/>
        <v>100</v>
      </c>
    </row>
    <row r="1867" spans="1:8" s="82" customFormat="1" ht="31.5" hidden="1" x14ac:dyDescent="0.2">
      <c r="A1867" s="28" t="s">
        <v>84</v>
      </c>
      <c r="B1867" s="2" t="s">
        <v>1037</v>
      </c>
      <c r="C1867" s="2" t="s">
        <v>992</v>
      </c>
      <c r="D1867" s="2" t="s">
        <v>947</v>
      </c>
      <c r="E1867" s="2" t="s">
        <v>85</v>
      </c>
      <c r="F1867" s="10">
        <f>604-40+16</f>
        <v>580</v>
      </c>
      <c r="G1867" s="10">
        <v>580</v>
      </c>
      <c r="H1867" s="97">
        <f t="shared" si="463"/>
        <v>100</v>
      </c>
    </row>
    <row r="1868" spans="1:8" ht="47.25" x14ac:dyDescent="0.2">
      <c r="A1868" s="155" t="s">
        <v>1077</v>
      </c>
      <c r="B1868" s="148" t="s">
        <v>1037</v>
      </c>
      <c r="C1868" s="148" t="s">
        <v>988</v>
      </c>
      <c r="D1868" s="148" t="s">
        <v>781</v>
      </c>
      <c r="E1868" s="148"/>
      <c r="F1868" s="144">
        <f>F1869</f>
        <v>1590</v>
      </c>
      <c r="G1868" s="147">
        <f>G1869</f>
        <v>1590</v>
      </c>
      <c r="H1868" s="131">
        <f t="shared" si="463"/>
        <v>100</v>
      </c>
    </row>
    <row r="1869" spans="1:8" ht="31.5" x14ac:dyDescent="0.2">
      <c r="A1869" s="157" t="s">
        <v>18</v>
      </c>
      <c r="B1869" s="141" t="s">
        <v>1037</v>
      </c>
      <c r="C1869" s="141" t="s">
        <v>988</v>
      </c>
      <c r="D1869" s="141" t="s">
        <v>781</v>
      </c>
      <c r="E1869" s="141" t="s">
        <v>20</v>
      </c>
      <c r="F1869" s="147">
        <f t="shared" ref="F1869:F1870" si="471">F1870</f>
        <v>1590</v>
      </c>
      <c r="G1869" s="147">
        <f>G1870</f>
        <v>1590</v>
      </c>
      <c r="H1869" s="131">
        <f t="shared" si="463"/>
        <v>100</v>
      </c>
    </row>
    <row r="1870" spans="1:8" ht="18.75" x14ac:dyDescent="0.2">
      <c r="A1870" s="157" t="s">
        <v>19</v>
      </c>
      <c r="B1870" s="141" t="s">
        <v>1037</v>
      </c>
      <c r="C1870" s="141" t="s">
        <v>992</v>
      </c>
      <c r="D1870" s="141" t="s">
        <v>781</v>
      </c>
      <c r="E1870" s="141" t="s">
        <v>21</v>
      </c>
      <c r="F1870" s="147">
        <f t="shared" si="471"/>
        <v>1590</v>
      </c>
      <c r="G1870" s="147">
        <f>G1871</f>
        <v>1590</v>
      </c>
      <c r="H1870" s="131">
        <f t="shared" si="463"/>
        <v>100</v>
      </c>
    </row>
    <row r="1871" spans="1:8" s="82" customFormat="1" ht="18.75" hidden="1" x14ac:dyDescent="0.2">
      <c r="A1871" s="28" t="s">
        <v>74</v>
      </c>
      <c r="B1871" s="2" t="s">
        <v>1037</v>
      </c>
      <c r="C1871" s="2" t="s">
        <v>992</v>
      </c>
      <c r="D1871" s="2" t="s">
        <v>781</v>
      </c>
      <c r="E1871" s="2" t="s">
        <v>75</v>
      </c>
      <c r="F1871" s="10">
        <f>1764-174</f>
        <v>1590</v>
      </c>
      <c r="G1871" s="10">
        <v>1590</v>
      </c>
      <c r="H1871" s="97">
        <f t="shared" si="463"/>
        <v>100</v>
      </c>
    </row>
    <row r="1872" spans="1:8" ht="18.75" x14ac:dyDescent="0.2">
      <c r="A1872" s="155" t="s">
        <v>93</v>
      </c>
      <c r="B1872" s="148" t="s">
        <v>1037</v>
      </c>
      <c r="C1872" s="148" t="s">
        <v>992</v>
      </c>
      <c r="D1872" s="148" t="s">
        <v>207</v>
      </c>
      <c r="E1872" s="148"/>
      <c r="F1872" s="144">
        <f t="shared" ref="F1872:G1873" si="472">F1873</f>
        <v>16692</v>
      </c>
      <c r="G1872" s="144">
        <f t="shared" si="472"/>
        <v>16692</v>
      </c>
      <c r="H1872" s="131">
        <f t="shared" si="463"/>
        <v>100</v>
      </c>
    </row>
    <row r="1873" spans="1:8" ht="31.5" x14ac:dyDescent="0.2">
      <c r="A1873" s="157" t="s">
        <v>18</v>
      </c>
      <c r="B1873" s="141" t="s">
        <v>1037</v>
      </c>
      <c r="C1873" s="141" t="s">
        <v>992</v>
      </c>
      <c r="D1873" s="141" t="s">
        <v>207</v>
      </c>
      <c r="E1873" s="141" t="s">
        <v>20</v>
      </c>
      <c r="F1873" s="147">
        <f t="shared" si="472"/>
        <v>16692</v>
      </c>
      <c r="G1873" s="147">
        <f t="shared" si="472"/>
        <v>16692</v>
      </c>
      <c r="H1873" s="131">
        <f t="shared" si="463"/>
        <v>100</v>
      </c>
    </row>
    <row r="1874" spans="1:8" ht="18.75" x14ac:dyDescent="0.2">
      <c r="A1874" s="157" t="s">
        <v>19</v>
      </c>
      <c r="B1874" s="141" t="s">
        <v>1037</v>
      </c>
      <c r="C1874" s="141" t="s">
        <v>992</v>
      </c>
      <c r="D1874" s="141" t="s">
        <v>207</v>
      </c>
      <c r="E1874" s="141" t="s">
        <v>21</v>
      </c>
      <c r="F1874" s="147">
        <f>F1875</f>
        <v>16692</v>
      </c>
      <c r="G1874" s="147">
        <f>G1875</f>
        <v>16692</v>
      </c>
      <c r="H1874" s="131">
        <f t="shared" si="463"/>
        <v>100</v>
      </c>
    </row>
    <row r="1875" spans="1:8" s="82" customFormat="1" ht="47.25" hidden="1" x14ac:dyDescent="0.2">
      <c r="A1875" s="28" t="s">
        <v>90</v>
      </c>
      <c r="B1875" s="2" t="s">
        <v>1037</v>
      </c>
      <c r="C1875" s="2" t="s">
        <v>992</v>
      </c>
      <c r="D1875" s="2" t="s">
        <v>207</v>
      </c>
      <c r="E1875" s="2" t="s">
        <v>91</v>
      </c>
      <c r="F1875" s="10">
        <f>17570-878</f>
        <v>16692</v>
      </c>
      <c r="G1875" s="10">
        <v>16692</v>
      </c>
      <c r="H1875" s="97">
        <f t="shared" si="463"/>
        <v>100</v>
      </c>
    </row>
    <row r="1876" spans="1:8" ht="18.75" x14ac:dyDescent="0.2">
      <c r="A1876" s="292" t="s">
        <v>1120</v>
      </c>
      <c r="B1876" s="136" t="s">
        <v>1037</v>
      </c>
      <c r="C1876" s="136" t="s">
        <v>992</v>
      </c>
      <c r="D1876" s="137" t="s">
        <v>1126</v>
      </c>
      <c r="E1876" s="297"/>
      <c r="F1876" s="179">
        <f t="shared" ref="F1876:G1878" si="473">F1877</f>
        <v>50</v>
      </c>
      <c r="G1876" s="152">
        <f t="shared" si="473"/>
        <v>50</v>
      </c>
      <c r="H1876" s="131">
        <f t="shared" si="463"/>
        <v>100</v>
      </c>
    </row>
    <row r="1877" spans="1:8" ht="31.5" x14ac:dyDescent="0.2">
      <c r="A1877" s="150" t="s">
        <v>18</v>
      </c>
      <c r="B1877" s="141" t="s">
        <v>1037</v>
      </c>
      <c r="C1877" s="141" t="s">
        <v>992</v>
      </c>
      <c r="D1877" s="146" t="s">
        <v>1126</v>
      </c>
      <c r="E1877" s="151" t="s">
        <v>20</v>
      </c>
      <c r="F1877" s="160">
        <f t="shared" si="473"/>
        <v>50</v>
      </c>
      <c r="G1877" s="269">
        <f t="shared" si="473"/>
        <v>50</v>
      </c>
      <c r="H1877" s="131">
        <f t="shared" si="463"/>
        <v>100</v>
      </c>
    </row>
    <row r="1878" spans="1:8" ht="18.75" x14ac:dyDescent="0.2">
      <c r="A1878" s="157" t="s">
        <v>19</v>
      </c>
      <c r="B1878" s="141" t="s">
        <v>1037</v>
      </c>
      <c r="C1878" s="141" t="s">
        <v>992</v>
      </c>
      <c r="D1878" s="146" t="s">
        <v>1126</v>
      </c>
      <c r="E1878" s="151" t="s">
        <v>21</v>
      </c>
      <c r="F1878" s="160">
        <f t="shared" si="473"/>
        <v>50</v>
      </c>
      <c r="G1878" s="269">
        <f t="shared" si="473"/>
        <v>50</v>
      </c>
      <c r="H1878" s="131">
        <f t="shared" si="463"/>
        <v>100</v>
      </c>
    </row>
    <row r="1879" spans="1:8" s="82" customFormat="1" ht="18.75" hidden="1" x14ac:dyDescent="0.2">
      <c r="A1879" s="28" t="s">
        <v>74</v>
      </c>
      <c r="B1879" s="2" t="s">
        <v>1037</v>
      </c>
      <c r="C1879" s="2" t="s">
        <v>992</v>
      </c>
      <c r="D1879" s="4" t="s">
        <v>1126</v>
      </c>
      <c r="E1879" s="5" t="s">
        <v>75</v>
      </c>
      <c r="F1879" s="62">
        <v>50</v>
      </c>
      <c r="G1879" s="84">
        <v>50</v>
      </c>
      <c r="H1879" s="97">
        <f t="shared" si="463"/>
        <v>100</v>
      </c>
    </row>
    <row r="1880" spans="1:8" ht="31.5" x14ac:dyDescent="0.2">
      <c r="A1880" s="132" t="s">
        <v>484</v>
      </c>
      <c r="B1880" s="133" t="s">
        <v>1037</v>
      </c>
      <c r="C1880" s="133" t="s">
        <v>992</v>
      </c>
      <c r="D1880" s="139" t="s">
        <v>485</v>
      </c>
      <c r="E1880" s="161"/>
      <c r="F1880" s="134">
        <f>F1881</f>
        <v>145393</v>
      </c>
      <c r="G1880" s="134">
        <f>G1881</f>
        <v>145392</v>
      </c>
      <c r="H1880" s="298">
        <f t="shared" si="463"/>
        <v>99.999312208978424</v>
      </c>
    </row>
    <row r="1881" spans="1:8" ht="18.75" x14ac:dyDescent="0.2">
      <c r="A1881" s="155" t="s">
        <v>501</v>
      </c>
      <c r="B1881" s="148" t="s">
        <v>1037</v>
      </c>
      <c r="C1881" s="148" t="s">
        <v>992</v>
      </c>
      <c r="D1881" s="148" t="s">
        <v>500</v>
      </c>
      <c r="E1881" s="141"/>
      <c r="F1881" s="144">
        <f>F1882+F1886</f>
        <v>145393</v>
      </c>
      <c r="G1881" s="144">
        <f>G1882+G1886</f>
        <v>145392</v>
      </c>
      <c r="H1881" s="298">
        <f t="shared" si="463"/>
        <v>99.999312208978424</v>
      </c>
    </row>
    <row r="1882" spans="1:8" ht="18.75" x14ac:dyDescent="0.2">
      <c r="A1882" s="155" t="s">
        <v>489</v>
      </c>
      <c r="B1882" s="148" t="s">
        <v>1037</v>
      </c>
      <c r="C1882" s="148" t="s">
        <v>992</v>
      </c>
      <c r="D1882" s="148" t="s">
        <v>488</v>
      </c>
      <c r="E1882" s="141"/>
      <c r="F1882" s="144">
        <f t="shared" ref="F1882:G1884" si="474">F1883</f>
        <v>4000</v>
      </c>
      <c r="G1882" s="144">
        <f t="shared" si="474"/>
        <v>3999</v>
      </c>
      <c r="H1882" s="131">
        <f t="shared" ref="H1882:H1936" si="475">G1882/F1882*100</f>
        <v>99.975000000000009</v>
      </c>
    </row>
    <row r="1883" spans="1:8" ht="31.5" x14ac:dyDescent="0.2">
      <c r="A1883" s="157" t="s">
        <v>18</v>
      </c>
      <c r="B1883" s="141" t="s">
        <v>1037</v>
      </c>
      <c r="C1883" s="141" t="s">
        <v>992</v>
      </c>
      <c r="D1883" s="141" t="s">
        <v>488</v>
      </c>
      <c r="E1883" s="141" t="s">
        <v>20</v>
      </c>
      <c r="F1883" s="147">
        <f t="shared" si="474"/>
        <v>4000</v>
      </c>
      <c r="G1883" s="147">
        <f t="shared" si="474"/>
        <v>3999</v>
      </c>
      <c r="H1883" s="131">
        <f t="shared" si="475"/>
        <v>99.975000000000009</v>
      </c>
    </row>
    <row r="1884" spans="1:8" ht="18.75" x14ac:dyDescent="0.2">
      <c r="A1884" s="157" t="s">
        <v>19</v>
      </c>
      <c r="B1884" s="141" t="s">
        <v>1037</v>
      </c>
      <c r="C1884" s="141" t="s">
        <v>992</v>
      </c>
      <c r="D1884" s="141" t="s">
        <v>488</v>
      </c>
      <c r="E1884" s="141" t="s">
        <v>21</v>
      </c>
      <c r="F1884" s="147">
        <f t="shared" si="474"/>
        <v>4000</v>
      </c>
      <c r="G1884" s="147">
        <f t="shared" si="474"/>
        <v>3999</v>
      </c>
      <c r="H1884" s="131">
        <f t="shared" si="475"/>
        <v>99.975000000000009</v>
      </c>
    </row>
    <row r="1885" spans="1:8" s="82" customFormat="1" ht="18.75" hidden="1" x14ac:dyDescent="0.2">
      <c r="A1885" s="28" t="s">
        <v>74</v>
      </c>
      <c r="B1885" s="2" t="s">
        <v>1037</v>
      </c>
      <c r="C1885" s="2" t="s">
        <v>992</v>
      </c>
      <c r="D1885" s="2" t="s">
        <v>488</v>
      </c>
      <c r="E1885" s="2" t="s">
        <v>75</v>
      </c>
      <c r="F1885" s="10">
        <f>4000</f>
        <v>4000</v>
      </c>
      <c r="G1885" s="10">
        <v>3999</v>
      </c>
      <c r="H1885" s="97">
        <f t="shared" si="475"/>
        <v>99.975000000000009</v>
      </c>
    </row>
    <row r="1886" spans="1:8" ht="18.75" x14ac:dyDescent="0.2">
      <c r="A1886" s="155" t="s">
        <v>486</v>
      </c>
      <c r="B1886" s="148" t="s">
        <v>1037</v>
      </c>
      <c r="C1886" s="148" t="s">
        <v>992</v>
      </c>
      <c r="D1886" s="148" t="s">
        <v>508</v>
      </c>
      <c r="E1886" s="141"/>
      <c r="F1886" s="144">
        <f t="shared" ref="F1886:G1888" si="476">F1887</f>
        <v>141393</v>
      </c>
      <c r="G1886" s="144">
        <f t="shared" si="476"/>
        <v>141393</v>
      </c>
      <c r="H1886" s="131">
        <f t="shared" si="475"/>
        <v>100</v>
      </c>
    </row>
    <row r="1887" spans="1:8" ht="31.5" x14ac:dyDescent="0.2">
      <c r="A1887" s="157" t="s">
        <v>18</v>
      </c>
      <c r="B1887" s="141" t="s">
        <v>1037</v>
      </c>
      <c r="C1887" s="141" t="s">
        <v>992</v>
      </c>
      <c r="D1887" s="141" t="s">
        <v>508</v>
      </c>
      <c r="E1887" s="141" t="s">
        <v>20</v>
      </c>
      <c r="F1887" s="147">
        <f t="shared" si="476"/>
        <v>141393</v>
      </c>
      <c r="G1887" s="147">
        <f t="shared" si="476"/>
        <v>141393</v>
      </c>
      <c r="H1887" s="131">
        <f t="shared" si="475"/>
        <v>100</v>
      </c>
    </row>
    <row r="1888" spans="1:8" ht="18.75" x14ac:dyDescent="0.2">
      <c r="A1888" s="157" t="s">
        <v>19</v>
      </c>
      <c r="B1888" s="141" t="s">
        <v>1037</v>
      </c>
      <c r="C1888" s="141" t="s">
        <v>992</v>
      </c>
      <c r="D1888" s="141" t="s">
        <v>508</v>
      </c>
      <c r="E1888" s="141" t="s">
        <v>21</v>
      </c>
      <c r="F1888" s="147">
        <f t="shared" si="476"/>
        <v>141393</v>
      </c>
      <c r="G1888" s="147">
        <f t="shared" si="476"/>
        <v>141393</v>
      </c>
      <c r="H1888" s="131">
        <f t="shared" si="475"/>
        <v>100</v>
      </c>
    </row>
    <row r="1889" spans="1:8" s="82" customFormat="1" ht="47.25" hidden="1" x14ac:dyDescent="0.2">
      <c r="A1889" s="28" t="s">
        <v>90</v>
      </c>
      <c r="B1889" s="2" t="s">
        <v>1037</v>
      </c>
      <c r="C1889" s="2" t="s">
        <v>992</v>
      </c>
      <c r="D1889" s="2" t="s">
        <v>508</v>
      </c>
      <c r="E1889" s="2" t="s">
        <v>91</v>
      </c>
      <c r="F1889" s="10">
        <f>148793-7400</f>
        <v>141393</v>
      </c>
      <c r="G1889" s="10">
        <f>148793-7400</f>
        <v>141393</v>
      </c>
      <c r="H1889" s="97">
        <f t="shared" si="475"/>
        <v>100</v>
      </c>
    </row>
    <row r="1890" spans="1:8" ht="18.75" x14ac:dyDescent="0.2">
      <c r="A1890" s="132" t="s">
        <v>798</v>
      </c>
      <c r="B1890" s="141" t="s">
        <v>1037</v>
      </c>
      <c r="C1890" s="141" t="s">
        <v>992</v>
      </c>
      <c r="D1890" s="141" t="s">
        <v>818</v>
      </c>
      <c r="E1890" s="141"/>
      <c r="F1890" s="147">
        <f>F1891</f>
        <v>2476</v>
      </c>
      <c r="G1890" s="147">
        <f>G1891</f>
        <v>2475.5036100000002</v>
      </c>
      <c r="H1890" s="298">
        <f t="shared" si="475"/>
        <v>99.979951938610668</v>
      </c>
    </row>
    <row r="1891" spans="1:8" ht="31.5" x14ac:dyDescent="0.2">
      <c r="A1891" s="157" t="s">
        <v>1146</v>
      </c>
      <c r="B1891" s="141" t="s">
        <v>1037</v>
      </c>
      <c r="C1891" s="141" t="s">
        <v>992</v>
      </c>
      <c r="D1891" s="141" t="s">
        <v>816</v>
      </c>
      <c r="E1891" s="141"/>
      <c r="F1891" s="147">
        <f t="shared" ref="F1891:G1893" si="477">F1892</f>
        <v>2476</v>
      </c>
      <c r="G1891" s="147">
        <f t="shared" si="477"/>
        <v>2475.5036100000002</v>
      </c>
      <c r="H1891" s="298">
        <f t="shared" si="475"/>
        <v>99.979951938610668</v>
      </c>
    </row>
    <row r="1892" spans="1:8" ht="31.5" x14ac:dyDescent="0.2">
      <c r="A1892" s="157" t="s">
        <v>18</v>
      </c>
      <c r="B1892" s="141" t="s">
        <v>1037</v>
      </c>
      <c r="C1892" s="141" t="s">
        <v>992</v>
      </c>
      <c r="D1892" s="141" t="s">
        <v>816</v>
      </c>
      <c r="E1892" s="141" t="s">
        <v>20</v>
      </c>
      <c r="F1892" s="147">
        <f t="shared" si="477"/>
        <v>2476</v>
      </c>
      <c r="G1892" s="147">
        <f t="shared" si="477"/>
        <v>2475.5036100000002</v>
      </c>
      <c r="H1892" s="298">
        <f t="shared" si="475"/>
        <v>99.979951938610668</v>
      </c>
    </row>
    <row r="1893" spans="1:8" ht="18.75" x14ac:dyDescent="0.2">
      <c r="A1893" s="157" t="s">
        <v>19</v>
      </c>
      <c r="B1893" s="141" t="s">
        <v>1037</v>
      </c>
      <c r="C1893" s="141" t="s">
        <v>992</v>
      </c>
      <c r="D1893" s="141" t="s">
        <v>816</v>
      </c>
      <c r="E1893" s="141" t="s">
        <v>21</v>
      </c>
      <c r="F1893" s="147">
        <f t="shared" si="477"/>
        <v>2476</v>
      </c>
      <c r="G1893" s="147">
        <f t="shared" si="477"/>
        <v>2475.5036100000002</v>
      </c>
      <c r="H1893" s="298">
        <f t="shared" si="475"/>
        <v>99.979951938610668</v>
      </c>
    </row>
    <row r="1894" spans="1:8" s="82" customFormat="1" ht="18.75" hidden="1" x14ac:dyDescent="0.2">
      <c r="A1894" s="28" t="s">
        <v>74</v>
      </c>
      <c r="B1894" s="2" t="s">
        <v>1037</v>
      </c>
      <c r="C1894" s="2" t="s">
        <v>992</v>
      </c>
      <c r="D1894" s="2" t="s">
        <v>816</v>
      </c>
      <c r="E1894" s="2" t="s">
        <v>75</v>
      </c>
      <c r="F1894" s="10">
        <f>20000-62-9969-7493</f>
        <v>2476</v>
      </c>
      <c r="G1894" s="10">
        <v>2475.5036100000002</v>
      </c>
      <c r="H1894" s="100">
        <f t="shared" si="475"/>
        <v>99.979951938610668</v>
      </c>
    </row>
    <row r="1895" spans="1:8" ht="31.5" x14ac:dyDescent="0.2">
      <c r="A1895" s="132" t="s">
        <v>1048</v>
      </c>
      <c r="B1895" s="133" t="s">
        <v>1037</v>
      </c>
      <c r="C1895" s="133" t="s">
        <v>992</v>
      </c>
      <c r="D1895" s="133" t="s">
        <v>562</v>
      </c>
      <c r="E1895" s="133"/>
      <c r="F1895" s="134">
        <f t="shared" ref="F1895:G1898" si="478">F1896</f>
        <v>1584</v>
      </c>
      <c r="G1895" s="134">
        <f t="shared" si="478"/>
        <v>1575.9315000000001</v>
      </c>
      <c r="H1895" s="298">
        <f t="shared" si="475"/>
        <v>99.490625000000009</v>
      </c>
    </row>
    <row r="1896" spans="1:8" ht="31.5" x14ac:dyDescent="0.2">
      <c r="A1896" s="135" t="s">
        <v>608</v>
      </c>
      <c r="B1896" s="136" t="s">
        <v>1037</v>
      </c>
      <c r="C1896" s="136" t="s">
        <v>992</v>
      </c>
      <c r="D1896" s="137" t="s">
        <v>577</v>
      </c>
      <c r="E1896" s="136"/>
      <c r="F1896" s="138">
        <f>F1897</f>
        <v>1584</v>
      </c>
      <c r="G1896" s="138">
        <f t="shared" si="478"/>
        <v>1575.9315000000001</v>
      </c>
      <c r="H1896" s="298">
        <f t="shared" si="475"/>
        <v>99.490625000000009</v>
      </c>
    </row>
    <row r="1897" spans="1:8" ht="31.5" x14ac:dyDescent="0.2">
      <c r="A1897" s="132" t="s">
        <v>609</v>
      </c>
      <c r="B1897" s="133" t="s">
        <v>1037</v>
      </c>
      <c r="C1897" s="133" t="s">
        <v>992</v>
      </c>
      <c r="D1897" s="139" t="s">
        <v>578</v>
      </c>
      <c r="E1897" s="141"/>
      <c r="F1897" s="134">
        <f>F1898+F1904+F1908</f>
        <v>1584</v>
      </c>
      <c r="G1897" s="134">
        <f>G1898+G1904+G1908</f>
        <v>1575.9315000000001</v>
      </c>
      <c r="H1897" s="298">
        <f t="shared" si="475"/>
        <v>99.490625000000009</v>
      </c>
    </row>
    <row r="1898" spans="1:8" ht="31.5" x14ac:dyDescent="0.2">
      <c r="A1898" s="155" t="s">
        <v>580</v>
      </c>
      <c r="B1898" s="148" t="s">
        <v>1037</v>
      </c>
      <c r="C1898" s="148" t="s">
        <v>992</v>
      </c>
      <c r="D1898" s="142" t="s">
        <v>579</v>
      </c>
      <c r="E1898" s="148"/>
      <c r="F1898" s="144">
        <f t="shared" si="478"/>
        <v>1417</v>
      </c>
      <c r="G1898" s="144">
        <f t="shared" si="478"/>
        <v>1409.6514999999999</v>
      </c>
      <c r="H1898" s="298">
        <f t="shared" si="475"/>
        <v>99.481404375441073</v>
      </c>
    </row>
    <row r="1899" spans="1:8" ht="31.5" x14ac:dyDescent="0.2">
      <c r="A1899" s="157" t="s">
        <v>18</v>
      </c>
      <c r="B1899" s="141" t="s">
        <v>1037</v>
      </c>
      <c r="C1899" s="141" t="s">
        <v>992</v>
      </c>
      <c r="D1899" s="146" t="s">
        <v>579</v>
      </c>
      <c r="E1899" s="141" t="s">
        <v>20</v>
      </c>
      <c r="F1899" s="147">
        <f>F1900+F1902</f>
        <v>1417</v>
      </c>
      <c r="G1899" s="147">
        <f>G1900+G1902</f>
        <v>1409.6514999999999</v>
      </c>
      <c r="H1899" s="298">
        <f t="shared" si="475"/>
        <v>99.481404375441073</v>
      </c>
    </row>
    <row r="1900" spans="1:8" ht="18.75" x14ac:dyDescent="0.2">
      <c r="A1900" s="157" t="s">
        <v>24</v>
      </c>
      <c r="B1900" s="141" t="s">
        <v>1037</v>
      </c>
      <c r="C1900" s="141" t="s">
        <v>992</v>
      </c>
      <c r="D1900" s="146" t="s">
        <v>579</v>
      </c>
      <c r="E1900" s="141" t="s">
        <v>25</v>
      </c>
      <c r="F1900" s="147">
        <f>F1901</f>
        <v>90</v>
      </c>
      <c r="G1900" s="147">
        <f>G1901</f>
        <v>83.5</v>
      </c>
      <c r="H1900" s="298">
        <f t="shared" si="475"/>
        <v>92.777777777777786</v>
      </c>
    </row>
    <row r="1901" spans="1:8" s="82" customFormat="1" ht="18.75" hidden="1" x14ac:dyDescent="0.2">
      <c r="A1901" s="28" t="s">
        <v>72</v>
      </c>
      <c r="B1901" s="2" t="s">
        <v>1037</v>
      </c>
      <c r="C1901" s="2" t="s">
        <v>992</v>
      </c>
      <c r="D1901" s="4" t="s">
        <v>579</v>
      </c>
      <c r="E1901" s="2" t="s">
        <v>73</v>
      </c>
      <c r="F1901" s="10">
        <v>90</v>
      </c>
      <c r="G1901" s="10">
        <v>83.5</v>
      </c>
      <c r="H1901" s="100">
        <f t="shared" si="475"/>
        <v>92.777777777777786</v>
      </c>
    </row>
    <row r="1902" spans="1:8" ht="18.75" x14ac:dyDescent="0.2">
      <c r="A1902" s="157" t="s">
        <v>19</v>
      </c>
      <c r="B1902" s="141" t="s">
        <v>1037</v>
      </c>
      <c r="C1902" s="141" t="s">
        <v>992</v>
      </c>
      <c r="D1902" s="146" t="s">
        <v>579</v>
      </c>
      <c r="E1902" s="141" t="s">
        <v>21</v>
      </c>
      <c r="F1902" s="147">
        <f>F1903</f>
        <v>1327</v>
      </c>
      <c r="G1902" s="147">
        <f>G1903</f>
        <v>1326.1514999999999</v>
      </c>
      <c r="H1902" s="298">
        <f t="shared" si="475"/>
        <v>99.936058779201204</v>
      </c>
    </row>
    <row r="1903" spans="1:8" s="82" customFormat="1" ht="18.75" hidden="1" x14ac:dyDescent="0.2">
      <c r="A1903" s="28" t="s">
        <v>74</v>
      </c>
      <c r="B1903" s="2" t="s">
        <v>1037</v>
      </c>
      <c r="C1903" s="2" t="s">
        <v>992</v>
      </c>
      <c r="D1903" s="4" t="s">
        <v>579</v>
      </c>
      <c r="E1903" s="2" t="s">
        <v>75</v>
      </c>
      <c r="F1903" s="10">
        <f>1600-273</f>
        <v>1327</v>
      </c>
      <c r="G1903" s="10">
        <v>1326.1514999999999</v>
      </c>
      <c r="H1903" s="100">
        <f t="shared" si="475"/>
        <v>99.936058779201204</v>
      </c>
    </row>
    <row r="1904" spans="1:8" ht="47.25" x14ac:dyDescent="0.2">
      <c r="A1904" s="155" t="s">
        <v>584</v>
      </c>
      <c r="B1904" s="148" t="s">
        <v>1037</v>
      </c>
      <c r="C1904" s="148" t="s">
        <v>992</v>
      </c>
      <c r="D1904" s="148" t="s">
        <v>581</v>
      </c>
      <c r="E1904" s="148"/>
      <c r="F1904" s="183">
        <f>F1905</f>
        <v>40</v>
      </c>
      <c r="G1904" s="183">
        <f t="shared" ref="G1904" si="479">G1905</f>
        <v>39.4</v>
      </c>
      <c r="H1904" s="298">
        <f t="shared" si="475"/>
        <v>98.5</v>
      </c>
    </row>
    <row r="1905" spans="1:8" ht="31.5" x14ac:dyDescent="0.2">
      <c r="A1905" s="157" t="s">
        <v>18</v>
      </c>
      <c r="B1905" s="141" t="s">
        <v>1037</v>
      </c>
      <c r="C1905" s="141" t="s">
        <v>992</v>
      </c>
      <c r="D1905" s="141" t="s">
        <v>581</v>
      </c>
      <c r="E1905" s="141" t="s">
        <v>20</v>
      </c>
      <c r="F1905" s="160">
        <f>F1906</f>
        <v>40</v>
      </c>
      <c r="G1905" s="160">
        <f>G1906</f>
        <v>39.4</v>
      </c>
      <c r="H1905" s="298">
        <f t="shared" si="475"/>
        <v>98.5</v>
      </c>
    </row>
    <row r="1906" spans="1:8" ht="18.75" x14ac:dyDescent="0.2">
      <c r="A1906" s="157" t="s">
        <v>19</v>
      </c>
      <c r="B1906" s="141" t="s">
        <v>1037</v>
      </c>
      <c r="C1906" s="141" t="s">
        <v>992</v>
      </c>
      <c r="D1906" s="141" t="s">
        <v>581</v>
      </c>
      <c r="E1906" s="141" t="s">
        <v>21</v>
      </c>
      <c r="F1906" s="160">
        <f>F1907</f>
        <v>40</v>
      </c>
      <c r="G1906" s="160">
        <f t="shared" ref="G1906" si="480">G1907</f>
        <v>39.4</v>
      </c>
      <c r="H1906" s="298">
        <f t="shared" si="475"/>
        <v>98.5</v>
      </c>
    </row>
    <row r="1907" spans="1:8" s="82" customFormat="1" ht="18.75" hidden="1" x14ac:dyDescent="0.2">
      <c r="A1907" s="28" t="s">
        <v>74</v>
      </c>
      <c r="B1907" s="2" t="s">
        <v>1037</v>
      </c>
      <c r="C1907" s="2" t="s">
        <v>992</v>
      </c>
      <c r="D1907" s="2" t="s">
        <v>581</v>
      </c>
      <c r="E1907" s="2" t="s">
        <v>75</v>
      </c>
      <c r="F1907" s="62">
        <v>40</v>
      </c>
      <c r="G1907" s="62">
        <v>39.4</v>
      </c>
      <c r="H1907" s="100">
        <f t="shared" si="475"/>
        <v>98.5</v>
      </c>
    </row>
    <row r="1908" spans="1:8" ht="18.75" x14ac:dyDescent="0.2">
      <c r="A1908" s="155" t="s">
        <v>709</v>
      </c>
      <c r="B1908" s="148" t="s">
        <v>1037</v>
      </c>
      <c r="C1908" s="148" t="s">
        <v>992</v>
      </c>
      <c r="D1908" s="148" t="s">
        <v>710</v>
      </c>
      <c r="E1908" s="148"/>
      <c r="F1908" s="183">
        <f>F1909</f>
        <v>127</v>
      </c>
      <c r="G1908" s="183">
        <f t="shared" ref="G1908:G1910" si="481">G1909</f>
        <v>126.88</v>
      </c>
      <c r="H1908" s="298">
        <f t="shared" si="475"/>
        <v>99.905511811023615</v>
      </c>
    </row>
    <row r="1909" spans="1:8" ht="31.5" x14ac:dyDescent="0.2">
      <c r="A1909" s="157" t="s">
        <v>18</v>
      </c>
      <c r="B1909" s="141" t="s">
        <v>1037</v>
      </c>
      <c r="C1909" s="141" t="s">
        <v>992</v>
      </c>
      <c r="D1909" s="141" t="s">
        <v>710</v>
      </c>
      <c r="E1909" s="141" t="s">
        <v>20</v>
      </c>
      <c r="F1909" s="160">
        <f>F1910</f>
        <v>127</v>
      </c>
      <c r="G1909" s="160">
        <f t="shared" si="481"/>
        <v>126.88</v>
      </c>
      <c r="H1909" s="298">
        <f t="shared" si="475"/>
        <v>99.905511811023615</v>
      </c>
    </row>
    <row r="1910" spans="1:8" ht="18.75" x14ac:dyDescent="0.2">
      <c r="A1910" s="157" t="s">
        <v>19</v>
      </c>
      <c r="B1910" s="141" t="s">
        <v>1037</v>
      </c>
      <c r="C1910" s="141" t="s">
        <v>992</v>
      </c>
      <c r="D1910" s="141" t="s">
        <v>710</v>
      </c>
      <c r="E1910" s="141" t="s">
        <v>21</v>
      </c>
      <c r="F1910" s="160">
        <f>F1911</f>
        <v>127</v>
      </c>
      <c r="G1910" s="160">
        <f t="shared" si="481"/>
        <v>126.88</v>
      </c>
      <c r="H1910" s="298">
        <f t="shared" si="475"/>
        <v>99.905511811023615</v>
      </c>
    </row>
    <row r="1911" spans="1:8" s="82" customFormat="1" ht="18.75" hidden="1" x14ac:dyDescent="0.2">
      <c r="A1911" s="28" t="s">
        <v>74</v>
      </c>
      <c r="B1911" s="2" t="s">
        <v>1037</v>
      </c>
      <c r="C1911" s="2" t="s">
        <v>992</v>
      </c>
      <c r="D1911" s="2" t="s">
        <v>710</v>
      </c>
      <c r="E1911" s="2" t="s">
        <v>75</v>
      </c>
      <c r="F1911" s="62">
        <f>200-73</f>
        <v>127</v>
      </c>
      <c r="G1911" s="62">
        <v>126.88</v>
      </c>
      <c r="H1911" s="100">
        <f t="shared" si="475"/>
        <v>99.905511811023615</v>
      </c>
    </row>
    <row r="1912" spans="1:8" ht="31.5" x14ac:dyDescent="0.2">
      <c r="A1912" s="132" t="s">
        <v>1078</v>
      </c>
      <c r="B1912" s="133" t="s">
        <v>1037</v>
      </c>
      <c r="C1912" s="133" t="s">
        <v>992</v>
      </c>
      <c r="D1912" s="133" t="s">
        <v>178</v>
      </c>
      <c r="E1912" s="133"/>
      <c r="F1912" s="134">
        <f>F1913</f>
        <v>2796</v>
      </c>
      <c r="G1912" s="134">
        <f>G1913</f>
        <v>2794.27936</v>
      </c>
      <c r="H1912" s="298">
        <f t="shared" si="475"/>
        <v>99.938460658082974</v>
      </c>
    </row>
    <row r="1913" spans="1:8" ht="18.75" x14ac:dyDescent="0.2">
      <c r="A1913" s="135" t="s">
        <v>329</v>
      </c>
      <c r="B1913" s="136" t="s">
        <v>1037</v>
      </c>
      <c r="C1913" s="136" t="s">
        <v>992</v>
      </c>
      <c r="D1913" s="137" t="s">
        <v>331</v>
      </c>
      <c r="E1913" s="136"/>
      <c r="F1913" s="138">
        <f t="shared" ref="F1913:G1915" si="482">F1914</f>
        <v>2796</v>
      </c>
      <c r="G1913" s="138">
        <f t="shared" si="482"/>
        <v>2794.27936</v>
      </c>
      <c r="H1913" s="298">
        <f t="shared" si="475"/>
        <v>99.938460658082974</v>
      </c>
    </row>
    <row r="1914" spans="1:8" ht="47.25" x14ac:dyDescent="0.2">
      <c r="A1914" s="132" t="s">
        <v>332</v>
      </c>
      <c r="B1914" s="133" t="s">
        <v>1037</v>
      </c>
      <c r="C1914" s="133" t="s">
        <v>992</v>
      </c>
      <c r="D1914" s="139" t="s">
        <v>330</v>
      </c>
      <c r="E1914" s="161"/>
      <c r="F1914" s="134">
        <f t="shared" si="482"/>
        <v>2796</v>
      </c>
      <c r="G1914" s="134">
        <f t="shared" si="482"/>
        <v>2794.27936</v>
      </c>
      <c r="H1914" s="298">
        <f t="shared" si="475"/>
        <v>99.938460658082974</v>
      </c>
    </row>
    <row r="1915" spans="1:8" ht="63" x14ac:dyDescent="0.2">
      <c r="A1915" s="155" t="s">
        <v>435</v>
      </c>
      <c r="B1915" s="148" t="s">
        <v>1037</v>
      </c>
      <c r="C1915" s="148" t="s">
        <v>992</v>
      </c>
      <c r="D1915" s="142" t="s">
        <v>333</v>
      </c>
      <c r="E1915" s="177"/>
      <c r="F1915" s="144">
        <f t="shared" si="482"/>
        <v>2796</v>
      </c>
      <c r="G1915" s="144">
        <f t="shared" si="482"/>
        <v>2794.27936</v>
      </c>
      <c r="H1915" s="298">
        <f t="shared" si="475"/>
        <v>99.938460658082974</v>
      </c>
    </row>
    <row r="1916" spans="1:8" ht="31.5" x14ac:dyDescent="0.2">
      <c r="A1916" s="157" t="s">
        <v>18</v>
      </c>
      <c r="B1916" s="141" t="s">
        <v>1037</v>
      </c>
      <c r="C1916" s="141" t="s">
        <v>992</v>
      </c>
      <c r="D1916" s="146" t="s">
        <v>333</v>
      </c>
      <c r="E1916" s="141" t="s">
        <v>20</v>
      </c>
      <c r="F1916" s="147">
        <f>F1917+F1919</f>
        <v>2796</v>
      </c>
      <c r="G1916" s="147">
        <f>G1917+G1919</f>
        <v>2794.27936</v>
      </c>
      <c r="H1916" s="298">
        <f t="shared" si="475"/>
        <v>99.938460658082974</v>
      </c>
    </row>
    <row r="1917" spans="1:8" ht="18.75" x14ac:dyDescent="0.2">
      <c r="A1917" s="157" t="s">
        <v>24</v>
      </c>
      <c r="B1917" s="141" t="s">
        <v>1037</v>
      </c>
      <c r="C1917" s="141" t="s">
        <v>992</v>
      </c>
      <c r="D1917" s="146" t="s">
        <v>333</v>
      </c>
      <c r="E1917" s="141" t="s">
        <v>25</v>
      </c>
      <c r="F1917" s="147">
        <f>F1918</f>
        <v>1671</v>
      </c>
      <c r="G1917" s="147">
        <f>G1918</f>
        <v>1669.2794699999999</v>
      </c>
      <c r="H1917" s="298">
        <f t="shared" si="475"/>
        <v>99.897035906642728</v>
      </c>
    </row>
    <row r="1918" spans="1:8" s="82" customFormat="1" ht="18.75" hidden="1" x14ac:dyDescent="0.2">
      <c r="A1918" s="28" t="s">
        <v>72</v>
      </c>
      <c r="B1918" s="2" t="s">
        <v>1037</v>
      </c>
      <c r="C1918" s="2" t="s">
        <v>992</v>
      </c>
      <c r="D1918" s="4" t="s">
        <v>333</v>
      </c>
      <c r="E1918" s="2" t="s">
        <v>73</v>
      </c>
      <c r="F1918" s="10">
        <f>2200-238-254-37</f>
        <v>1671</v>
      </c>
      <c r="G1918" s="10">
        <v>1669.2794699999999</v>
      </c>
      <c r="H1918" s="100">
        <f t="shared" si="475"/>
        <v>99.897035906642728</v>
      </c>
    </row>
    <row r="1919" spans="1:8" ht="18.75" x14ac:dyDescent="0.2">
      <c r="A1919" s="145" t="s">
        <v>19</v>
      </c>
      <c r="B1919" s="141" t="s">
        <v>1037</v>
      </c>
      <c r="C1919" s="141" t="s">
        <v>992</v>
      </c>
      <c r="D1919" s="146" t="s">
        <v>333</v>
      </c>
      <c r="E1919" s="141" t="s">
        <v>21</v>
      </c>
      <c r="F1919" s="147">
        <f>F1920</f>
        <v>1125</v>
      </c>
      <c r="G1919" s="147">
        <f>G1920</f>
        <v>1124.9998900000001</v>
      </c>
      <c r="H1919" s="298">
        <f t="shared" si="475"/>
        <v>99.999990222222223</v>
      </c>
    </row>
    <row r="1920" spans="1:8" s="82" customFormat="1" ht="18.75" hidden="1" x14ac:dyDescent="0.2">
      <c r="A1920" s="3" t="s">
        <v>74</v>
      </c>
      <c r="B1920" s="2" t="s">
        <v>1037</v>
      </c>
      <c r="C1920" s="2" t="s">
        <v>992</v>
      </c>
      <c r="D1920" s="4" t="s">
        <v>333</v>
      </c>
      <c r="E1920" s="2" t="s">
        <v>75</v>
      </c>
      <c r="F1920" s="10">
        <f>2200-70-1005</f>
        <v>1125</v>
      </c>
      <c r="G1920" s="10">
        <v>1124.9998900000001</v>
      </c>
      <c r="H1920" s="100">
        <f t="shared" si="475"/>
        <v>99.999990222222223</v>
      </c>
    </row>
    <row r="1921" spans="1:8" ht="31.5" x14ac:dyDescent="0.2">
      <c r="A1921" s="132" t="s">
        <v>991</v>
      </c>
      <c r="B1921" s="133" t="s">
        <v>1037</v>
      </c>
      <c r="C1921" s="133" t="s">
        <v>992</v>
      </c>
      <c r="D1921" s="133" t="s">
        <v>156</v>
      </c>
      <c r="E1921" s="133"/>
      <c r="F1921" s="134">
        <f>F1922</f>
        <v>9</v>
      </c>
      <c r="G1921" s="134">
        <f>G1922</f>
        <v>8.5</v>
      </c>
      <c r="H1921" s="298">
        <f t="shared" si="475"/>
        <v>94.444444444444443</v>
      </c>
    </row>
    <row r="1922" spans="1:8" ht="18.75" x14ac:dyDescent="0.2">
      <c r="A1922" s="135" t="s">
        <v>349</v>
      </c>
      <c r="B1922" s="136" t="s">
        <v>1037</v>
      </c>
      <c r="C1922" s="136" t="s">
        <v>992</v>
      </c>
      <c r="D1922" s="137" t="s">
        <v>350</v>
      </c>
      <c r="E1922" s="136"/>
      <c r="F1922" s="138">
        <f t="shared" ref="F1922:G1923" si="483">F1923</f>
        <v>9</v>
      </c>
      <c r="G1922" s="138">
        <f t="shared" si="483"/>
        <v>8.5</v>
      </c>
      <c r="H1922" s="298">
        <f t="shared" si="475"/>
        <v>94.444444444444443</v>
      </c>
    </row>
    <row r="1923" spans="1:8" ht="31.5" x14ac:dyDescent="0.2">
      <c r="A1923" s="145" t="s">
        <v>863</v>
      </c>
      <c r="B1923" s="133" t="s">
        <v>1037</v>
      </c>
      <c r="C1923" s="133" t="s">
        <v>992</v>
      </c>
      <c r="D1923" s="139" t="s">
        <v>864</v>
      </c>
      <c r="E1923" s="161"/>
      <c r="F1923" s="134">
        <f t="shared" si="483"/>
        <v>9</v>
      </c>
      <c r="G1923" s="134">
        <f t="shared" si="483"/>
        <v>8.5</v>
      </c>
      <c r="H1923" s="298">
        <f t="shared" si="475"/>
        <v>94.444444444444443</v>
      </c>
    </row>
    <row r="1924" spans="1:8" ht="18.75" x14ac:dyDescent="0.2">
      <c r="A1924" s="145" t="s">
        <v>866</v>
      </c>
      <c r="B1924" s="148" t="s">
        <v>1037</v>
      </c>
      <c r="C1924" s="148" t="s">
        <v>992</v>
      </c>
      <c r="D1924" s="142" t="s">
        <v>865</v>
      </c>
      <c r="E1924" s="177"/>
      <c r="F1924" s="144">
        <f>F1925+F1928</f>
        <v>9</v>
      </c>
      <c r="G1924" s="144">
        <f>G1925+G1928</f>
        <v>8.5</v>
      </c>
      <c r="H1924" s="298">
        <f t="shared" si="475"/>
        <v>94.444444444444443</v>
      </c>
    </row>
    <row r="1925" spans="1:8" ht="18.75" x14ac:dyDescent="0.2">
      <c r="A1925" s="157" t="s">
        <v>871</v>
      </c>
      <c r="B1925" s="141" t="s">
        <v>1037</v>
      </c>
      <c r="C1925" s="141" t="s">
        <v>992</v>
      </c>
      <c r="D1925" s="146" t="s">
        <v>865</v>
      </c>
      <c r="E1925" s="141" t="s">
        <v>15</v>
      </c>
      <c r="F1925" s="147">
        <f t="shared" ref="F1925:G1926" si="484">F1926</f>
        <v>8</v>
      </c>
      <c r="G1925" s="147">
        <f t="shared" si="484"/>
        <v>8</v>
      </c>
      <c r="H1925" s="298">
        <f t="shared" si="475"/>
        <v>100</v>
      </c>
    </row>
    <row r="1926" spans="1:8" ht="31.5" x14ac:dyDescent="0.2">
      <c r="A1926" s="157" t="s">
        <v>17</v>
      </c>
      <c r="B1926" s="141" t="s">
        <v>1037</v>
      </c>
      <c r="C1926" s="141" t="s">
        <v>992</v>
      </c>
      <c r="D1926" s="146" t="s">
        <v>865</v>
      </c>
      <c r="E1926" s="141" t="s">
        <v>16</v>
      </c>
      <c r="F1926" s="147">
        <f t="shared" si="484"/>
        <v>8</v>
      </c>
      <c r="G1926" s="147">
        <f t="shared" si="484"/>
        <v>8</v>
      </c>
      <c r="H1926" s="298">
        <f t="shared" si="475"/>
        <v>100</v>
      </c>
    </row>
    <row r="1927" spans="1:8" s="82" customFormat="1" ht="18.75" hidden="1" x14ac:dyDescent="0.2">
      <c r="A1927" s="3" t="s">
        <v>548</v>
      </c>
      <c r="B1927" s="2" t="s">
        <v>1037</v>
      </c>
      <c r="C1927" s="2" t="s">
        <v>992</v>
      </c>
      <c r="D1927" s="4" t="s">
        <v>865</v>
      </c>
      <c r="E1927" s="2" t="s">
        <v>67</v>
      </c>
      <c r="F1927" s="10">
        <f>24-10-6</f>
        <v>8</v>
      </c>
      <c r="G1927" s="10">
        <v>8</v>
      </c>
      <c r="H1927" s="100">
        <f t="shared" si="475"/>
        <v>100</v>
      </c>
    </row>
    <row r="1928" spans="1:8" ht="18.75" x14ac:dyDescent="0.2">
      <c r="A1928" s="157" t="s">
        <v>13</v>
      </c>
      <c r="B1928" s="141" t="s">
        <v>1037</v>
      </c>
      <c r="C1928" s="141" t="s">
        <v>992</v>
      </c>
      <c r="D1928" s="146" t="s">
        <v>865</v>
      </c>
      <c r="E1928" s="141" t="s">
        <v>14</v>
      </c>
      <c r="F1928" s="147">
        <f>F1929</f>
        <v>1</v>
      </c>
      <c r="G1928" s="147">
        <f>G1929</f>
        <v>0.5</v>
      </c>
      <c r="H1928" s="298">
        <f t="shared" si="475"/>
        <v>50</v>
      </c>
    </row>
    <row r="1929" spans="1:8" ht="18.75" x14ac:dyDescent="0.2">
      <c r="A1929" s="157" t="s">
        <v>32</v>
      </c>
      <c r="B1929" s="141" t="s">
        <v>1037</v>
      </c>
      <c r="C1929" s="141" t="s">
        <v>992</v>
      </c>
      <c r="D1929" s="146" t="s">
        <v>865</v>
      </c>
      <c r="E1929" s="141" t="s">
        <v>31</v>
      </c>
      <c r="F1929" s="147">
        <f>F1930</f>
        <v>1</v>
      </c>
      <c r="G1929" s="147">
        <f>G1930</f>
        <v>0.5</v>
      </c>
      <c r="H1929" s="298">
        <f t="shared" si="475"/>
        <v>50</v>
      </c>
    </row>
    <row r="1930" spans="1:8" s="82" customFormat="1" ht="18.75" hidden="1" x14ac:dyDescent="0.2">
      <c r="A1930" s="3" t="s">
        <v>308</v>
      </c>
      <c r="B1930" s="2" t="s">
        <v>1037</v>
      </c>
      <c r="C1930" s="2" t="s">
        <v>992</v>
      </c>
      <c r="D1930" s="4" t="s">
        <v>865</v>
      </c>
      <c r="E1930" s="2" t="s">
        <v>307</v>
      </c>
      <c r="F1930" s="10">
        <v>1</v>
      </c>
      <c r="G1930" s="10">
        <v>0.5</v>
      </c>
      <c r="H1930" s="100">
        <f t="shared" si="475"/>
        <v>50</v>
      </c>
    </row>
    <row r="1931" spans="1:8" ht="18.75" x14ac:dyDescent="0.2">
      <c r="A1931" s="132" t="s">
        <v>1079</v>
      </c>
      <c r="B1931" s="133" t="s">
        <v>1037</v>
      </c>
      <c r="C1931" s="133" t="s">
        <v>999</v>
      </c>
      <c r="D1931" s="133"/>
      <c r="E1931" s="133"/>
      <c r="F1931" s="134">
        <f>F1932+F1947</f>
        <v>17042</v>
      </c>
      <c r="G1931" s="134">
        <f>G1932+G1947</f>
        <v>16731.477079999997</v>
      </c>
      <c r="H1931" s="298">
        <f t="shared" si="475"/>
        <v>98.177896256307932</v>
      </c>
    </row>
    <row r="1932" spans="1:8" ht="18.75" x14ac:dyDescent="0.2">
      <c r="A1932" s="132" t="s">
        <v>1072</v>
      </c>
      <c r="B1932" s="133" t="s">
        <v>1037</v>
      </c>
      <c r="C1932" s="133" t="s">
        <v>999</v>
      </c>
      <c r="D1932" s="133" t="s">
        <v>179</v>
      </c>
      <c r="E1932" s="133"/>
      <c r="F1932" s="134">
        <f t="shared" ref="F1932:G1933" si="485">F1933</f>
        <v>16973</v>
      </c>
      <c r="G1932" s="134">
        <f t="shared" si="485"/>
        <v>16663.377079999998</v>
      </c>
      <c r="H1932" s="298">
        <f t="shared" si="475"/>
        <v>98.175791433453114</v>
      </c>
    </row>
    <row r="1933" spans="1:8" ht="31.5" x14ac:dyDescent="0.2">
      <c r="A1933" s="132" t="s">
        <v>417</v>
      </c>
      <c r="B1933" s="133" t="s">
        <v>1037</v>
      </c>
      <c r="C1933" s="133" t="s">
        <v>999</v>
      </c>
      <c r="D1933" s="139" t="s">
        <v>418</v>
      </c>
      <c r="E1933" s="161"/>
      <c r="F1933" s="134">
        <f t="shared" si="485"/>
        <v>16973</v>
      </c>
      <c r="G1933" s="134">
        <f t="shared" si="485"/>
        <v>16663.377079999998</v>
      </c>
      <c r="H1933" s="298">
        <f t="shared" si="475"/>
        <v>98.175791433453114</v>
      </c>
    </row>
    <row r="1934" spans="1:8" ht="18.75" x14ac:dyDescent="0.2">
      <c r="A1934" s="155" t="s">
        <v>1124</v>
      </c>
      <c r="B1934" s="148" t="s">
        <v>1037</v>
      </c>
      <c r="C1934" s="148" t="s">
        <v>999</v>
      </c>
      <c r="D1934" s="142" t="s">
        <v>419</v>
      </c>
      <c r="E1934" s="148"/>
      <c r="F1934" s="144">
        <f>F1935+F1940+F1944</f>
        <v>16973</v>
      </c>
      <c r="G1934" s="144">
        <f>G1935+G1940+G1944</f>
        <v>16663.377079999998</v>
      </c>
      <c r="H1934" s="298">
        <f t="shared" si="475"/>
        <v>98.175791433453114</v>
      </c>
    </row>
    <row r="1935" spans="1:8" ht="47.25" x14ac:dyDescent="0.2">
      <c r="A1935" s="157" t="s">
        <v>35</v>
      </c>
      <c r="B1935" s="141" t="s">
        <v>1037</v>
      </c>
      <c r="C1935" s="141" t="s">
        <v>999</v>
      </c>
      <c r="D1935" s="141" t="s">
        <v>419</v>
      </c>
      <c r="E1935" s="141">
        <v>100</v>
      </c>
      <c r="F1935" s="147">
        <f>F1936</f>
        <v>15003</v>
      </c>
      <c r="G1935" s="147">
        <f>G1936</f>
        <v>14785.311030000001</v>
      </c>
      <c r="H1935" s="298">
        <f t="shared" si="475"/>
        <v>98.549030393921228</v>
      </c>
    </row>
    <row r="1936" spans="1:8" ht="18.75" x14ac:dyDescent="0.2">
      <c r="A1936" s="157" t="s">
        <v>8</v>
      </c>
      <c r="B1936" s="141" t="s">
        <v>1037</v>
      </c>
      <c r="C1936" s="141" t="s">
        <v>999</v>
      </c>
      <c r="D1936" s="141" t="s">
        <v>419</v>
      </c>
      <c r="E1936" s="141">
        <v>120</v>
      </c>
      <c r="F1936" s="147">
        <f>F1937+F1938+F1939</f>
        <v>15003</v>
      </c>
      <c r="G1936" s="147">
        <f>G1937+G1938+G1939</f>
        <v>14785.311030000001</v>
      </c>
      <c r="H1936" s="298">
        <f t="shared" si="475"/>
        <v>98.549030393921228</v>
      </c>
    </row>
    <row r="1937" spans="1:8" s="82" customFormat="1" ht="18.75" hidden="1" x14ac:dyDescent="0.2">
      <c r="A1937" s="28" t="s">
        <v>244</v>
      </c>
      <c r="B1937" s="2" t="s">
        <v>1037</v>
      </c>
      <c r="C1937" s="2" t="s">
        <v>999</v>
      </c>
      <c r="D1937" s="2" t="s">
        <v>419</v>
      </c>
      <c r="E1937" s="2" t="s">
        <v>64</v>
      </c>
      <c r="F1937" s="10">
        <f>8963+1796-1450-400+200-100</f>
        <v>9009</v>
      </c>
      <c r="G1937" s="10">
        <v>8865.0925700000007</v>
      </c>
      <c r="H1937" s="100">
        <f t="shared" ref="H1937:H2000" si="486">G1937/F1937*100</f>
        <v>98.402625929625941</v>
      </c>
    </row>
    <row r="1938" spans="1:8" s="82" customFormat="1" ht="31.5" hidden="1" x14ac:dyDescent="0.2">
      <c r="A1938" s="28" t="s">
        <v>92</v>
      </c>
      <c r="B1938" s="2" t="s">
        <v>1037</v>
      </c>
      <c r="C1938" s="2" t="s">
        <v>999</v>
      </c>
      <c r="D1938" s="2" t="s">
        <v>419</v>
      </c>
      <c r="E1938" s="2" t="s">
        <v>66</v>
      </c>
      <c r="F1938" s="10">
        <f>3068+399-85-279-200-300</f>
        <v>2603</v>
      </c>
      <c r="G1938" s="10">
        <v>2596.4740000000002</v>
      </c>
      <c r="H1938" s="100">
        <f t="shared" si="486"/>
        <v>99.749289281598166</v>
      </c>
    </row>
    <row r="1939" spans="1:8" s="82" customFormat="1" ht="47.25" hidden="1" x14ac:dyDescent="0.2">
      <c r="A1939" s="3" t="s">
        <v>140</v>
      </c>
      <c r="B1939" s="2" t="s">
        <v>1037</v>
      </c>
      <c r="C1939" s="2" t="s">
        <v>999</v>
      </c>
      <c r="D1939" s="2" t="s">
        <v>419</v>
      </c>
      <c r="E1939" s="2" t="s">
        <v>139</v>
      </c>
      <c r="F1939" s="10">
        <f>3529+638-465-121-190</f>
        <v>3391</v>
      </c>
      <c r="G1939" s="10">
        <v>3323.7444599999999</v>
      </c>
      <c r="H1939" s="100">
        <f t="shared" si="486"/>
        <v>98.01664582718962</v>
      </c>
    </row>
    <row r="1940" spans="1:8" ht="18.75" x14ac:dyDescent="0.2">
      <c r="A1940" s="157" t="s">
        <v>871</v>
      </c>
      <c r="B1940" s="141" t="s">
        <v>1037</v>
      </c>
      <c r="C1940" s="141" t="s">
        <v>999</v>
      </c>
      <c r="D1940" s="141" t="s">
        <v>419</v>
      </c>
      <c r="E1940" s="141" t="s">
        <v>15</v>
      </c>
      <c r="F1940" s="147">
        <f>F1941</f>
        <v>1565</v>
      </c>
      <c r="G1940" s="147">
        <f>G1941</f>
        <v>1473.46705</v>
      </c>
      <c r="H1940" s="298">
        <f t="shared" si="486"/>
        <v>94.151249201277949</v>
      </c>
    </row>
    <row r="1941" spans="1:8" ht="31.5" x14ac:dyDescent="0.2">
      <c r="A1941" s="157" t="s">
        <v>17</v>
      </c>
      <c r="B1941" s="141" t="s">
        <v>1037</v>
      </c>
      <c r="C1941" s="141" t="s">
        <v>999</v>
      </c>
      <c r="D1941" s="141" t="s">
        <v>419</v>
      </c>
      <c r="E1941" s="141" t="s">
        <v>16</v>
      </c>
      <c r="F1941" s="147">
        <f>F1942+F1943</f>
        <v>1565</v>
      </c>
      <c r="G1941" s="147">
        <f>G1942+G1943</f>
        <v>1473.46705</v>
      </c>
      <c r="H1941" s="298">
        <f t="shared" si="486"/>
        <v>94.151249201277949</v>
      </c>
    </row>
    <row r="1942" spans="1:8" s="82" customFormat="1" ht="31.5" hidden="1" x14ac:dyDescent="0.2">
      <c r="A1942" s="28" t="s">
        <v>367</v>
      </c>
      <c r="B1942" s="2" t="s">
        <v>1037</v>
      </c>
      <c r="C1942" s="2" t="s">
        <v>999</v>
      </c>
      <c r="D1942" s="2" t="s">
        <v>419</v>
      </c>
      <c r="E1942" s="2" t="s">
        <v>368</v>
      </c>
      <c r="F1942" s="10">
        <f>630-300</f>
        <v>330</v>
      </c>
      <c r="G1942" s="10">
        <v>310.20389999999998</v>
      </c>
      <c r="H1942" s="100">
        <f t="shared" si="486"/>
        <v>94.001181818181806</v>
      </c>
    </row>
    <row r="1943" spans="1:8" s="82" customFormat="1" ht="18.75" hidden="1" x14ac:dyDescent="0.2">
      <c r="A1943" s="3" t="s">
        <v>548</v>
      </c>
      <c r="B1943" s="2" t="s">
        <v>1037</v>
      </c>
      <c r="C1943" s="2" t="s">
        <v>999</v>
      </c>
      <c r="D1943" s="2" t="s">
        <v>419</v>
      </c>
      <c r="E1943" s="2" t="s">
        <v>67</v>
      </c>
      <c r="F1943" s="10">
        <f>2185-600-350</f>
        <v>1235</v>
      </c>
      <c r="G1943" s="10">
        <v>1163.26315</v>
      </c>
      <c r="H1943" s="100">
        <f t="shared" si="486"/>
        <v>94.191348178137645</v>
      </c>
    </row>
    <row r="1944" spans="1:8" ht="18.75" x14ac:dyDescent="0.2">
      <c r="A1944" s="157" t="s">
        <v>13</v>
      </c>
      <c r="B1944" s="141" t="s">
        <v>1037</v>
      </c>
      <c r="C1944" s="141" t="s">
        <v>999</v>
      </c>
      <c r="D1944" s="141" t="s">
        <v>419</v>
      </c>
      <c r="E1944" s="141" t="s">
        <v>14</v>
      </c>
      <c r="F1944" s="147">
        <f t="shared" ref="F1944:G1944" si="487">F1945</f>
        <v>405</v>
      </c>
      <c r="G1944" s="147">
        <f t="shared" si="487"/>
        <v>404.59899999999999</v>
      </c>
      <c r="H1944" s="298">
        <f t="shared" si="486"/>
        <v>99.900987654320986</v>
      </c>
    </row>
    <row r="1945" spans="1:8" ht="18.75" x14ac:dyDescent="0.2">
      <c r="A1945" s="157" t="s">
        <v>32</v>
      </c>
      <c r="B1945" s="141" t="s">
        <v>1037</v>
      </c>
      <c r="C1945" s="141" t="s">
        <v>999</v>
      </c>
      <c r="D1945" s="141" t="s">
        <v>419</v>
      </c>
      <c r="E1945" s="141" t="s">
        <v>31</v>
      </c>
      <c r="F1945" s="147">
        <f>F1946</f>
        <v>405</v>
      </c>
      <c r="G1945" s="147">
        <f>G1946</f>
        <v>404.59899999999999</v>
      </c>
      <c r="H1945" s="298">
        <f t="shared" si="486"/>
        <v>99.900987654320986</v>
      </c>
    </row>
    <row r="1946" spans="1:8" s="82" customFormat="1" ht="18.75" hidden="1" x14ac:dyDescent="0.2">
      <c r="A1946" s="28" t="s">
        <v>68</v>
      </c>
      <c r="B1946" s="2" t="s">
        <v>1037</v>
      </c>
      <c r="C1946" s="2" t="s">
        <v>999</v>
      </c>
      <c r="D1946" s="2" t="s">
        <v>419</v>
      </c>
      <c r="E1946" s="2" t="s">
        <v>69</v>
      </c>
      <c r="F1946" s="10">
        <f>490-85</f>
        <v>405</v>
      </c>
      <c r="G1946" s="10">
        <v>404.59899999999999</v>
      </c>
      <c r="H1946" s="100">
        <f t="shared" si="486"/>
        <v>99.900987654320986</v>
      </c>
    </row>
    <row r="1947" spans="1:8" ht="31.5" x14ac:dyDescent="0.2">
      <c r="A1947" s="132" t="s">
        <v>991</v>
      </c>
      <c r="B1947" s="133" t="s">
        <v>1037</v>
      </c>
      <c r="C1947" s="133" t="s">
        <v>999</v>
      </c>
      <c r="D1947" s="133" t="s">
        <v>156</v>
      </c>
      <c r="E1947" s="133"/>
      <c r="F1947" s="134">
        <f>F1948</f>
        <v>69</v>
      </c>
      <c r="G1947" s="134">
        <f>G1948</f>
        <v>68.099999999999994</v>
      </c>
      <c r="H1947" s="298">
        <f t="shared" si="486"/>
        <v>98.695652173913047</v>
      </c>
    </row>
    <row r="1948" spans="1:8" ht="18.75" x14ac:dyDescent="0.2">
      <c r="A1948" s="135" t="s">
        <v>349</v>
      </c>
      <c r="B1948" s="136" t="s">
        <v>1037</v>
      </c>
      <c r="C1948" s="136" t="s">
        <v>999</v>
      </c>
      <c r="D1948" s="137" t="s">
        <v>350</v>
      </c>
      <c r="E1948" s="136"/>
      <c r="F1948" s="138">
        <f>F1949+F1954</f>
        <v>69</v>
      </c>
      <c r="G1948" s="138">
        <f>G1949+G1954</f>
        <v>68.099999999999994</v>
      </c>
      <c r="H1948" s="298">
        <f t="shared" si="486"/>
        <v>98.695652173913047</v>
      </c>
    </row>
    <row r="1949" spans="1:8" ht="31.5" x14ac:dyDescent="0.2">
      <c r="A1949" s="132" t="s">
        <v>1003</v>
      </c>
      <c r="B1949" s="161" t="s">
        <v>1037</v>
      </c>
      <c r="C1949" s="133" t="s">
        <v>999</v>
      </c>
      <c r="D1949" s="139" t="s">
        <v>352</v>
      </c>
      <c r="E1949" s="161"/>
      <c r="F1949" s="134">
        <f t="shared" ref="F1949:G1952" si="488">F1950</f>
        <v>29</v>
      </c>
      <c r="G1949" s="134">
        <f t="shared" si="488"/>
        <v>28.3</v>
      </c>
      <c r="H1949" s="298">
        <f t="shared" si="486"/>
        <v>97.58620689655173</v>
      </c>
    </row>
    <row r="1950" spans="1:8" ht="63" x14ac:dyDescent="0.2">
      <c r="A1950" s="140" t="s">
        <v>704</v>
      </c>
      <c r="B1950" s="148" t="s">
        <v>1037</v>
      </c>
      <c r="C1950" s="148" t="s">
        <v>999</v>
      </c>
      <c r="D1950" s="142" t="s">
        <v>353</v>
      </c>
      <c r="E1950" s="148"/>
      <c r="F1950" s="144">
        <f t="shared" si="488"/>
        <v>29</v>
      </c>
      <c r="G1950" s="144">
        <f t="shared" si="488"/>
        <v>28.3</v>
      </c>
      <c r="H1950" s="298">
        <f t="shared" si="486"/>
        <v>97.58620689655173</v>
      </c>
    </row>
    <row r="1951" spans="1:8" ht="18.75" x14ac:dyDescent="0.2">
      <c r="A1951" s="145" t="s">
        <v>871</v>
      </c>
      <c r="B1951" s="141" t="s">
        <v>1037</v>
      </c>
      <c r="C1951" s="141" t="s">
        <v>999</v>
      </c>
      <c r="D1951" s="146" t="s">
        <v>353</v>
      </c>
      <c r="E1951" s="141" t="s">
        <v>15</v>
      </c>
      <c r="F1951" s="147">
        <f t="shared" si="488"/>
        <v>29</v>
      </c>
      <c r="G1951" s="147">
        <f t="shared" si="488"/>
        <v>28.3</v>
      </c>
      <c r="H1951" s="298">
        <f t="shared" si="486"/>
        <v>97.58620689655173</v>
      </c>
    </row>
    <row r="1952" spans="1:8" ht="31.5" x14ac:dyDescent="0.2">
      <c r="A1952" s="145" t="s">
        <v>17</v>
      </c>
      <c r="B1952" s="141" t="s">
        <v>1037</v>
      </c>
      <c r="C1952" s="141" t="s">
        <v>999</v>
      </c>
      <c r="D1952" s="146" t="s">
        <v>353</v>
      </c>
      <c r="E1952" s="141" t="s">
        <v>16</v>
      </c>
      <c r="F1952" s="147">
        <f t="shared" si="488"/>
        <v>29</v>
      </c>
      <c r="G1952" s="147">
        <f t="shared" si="488"/>
        <v>28.3</v>
      </c>
      <c r="H1952" s="298">
        <f t="shared" si="486"/>
        <v>97.58620689655173</v>
      </c>
    </row>
    <row r="1953" spans="1:11" s="82" customFormat="1" ht="18.75" hidden="1" x14ac:dyDescent="0.2">
      <c r="A1953" s="3" t="s">
        <v>548</v>
      </c>
      <c r="B1953" s="2" t="s">
        <v>1037</v>
      </c>
      <c r="C1953" s="2" t="s">
        <v>999</v>
      </c>
      <c r="D1953" s="4" t="s">
        <v>353</v>
      </c>
      <c r="E1953" s="2" t="s">
        <v>67</v>
      </c>
      <c r="F1953" s="10">
        <f>59-30</f>
        <v>29</v>
      </c>
      <c r="G1953" s="10">
        <v>28.3</v>
      </c>
      <c r="H1953" s="100">
        <f t="shared" si="486"/>
        <v>97.58620689655173</v>
      </c>
    </row>
    <row r="1954" spans="1:11" ht="31.5" x14ac:dyDescent="0.2">
      <c r="A1954" s="132" t="s">
        <v>138</v>
      </c>
      <c r="B1954" s="161" t="s">
        <v>1037</v>
      </c>
      <c r="C1954" s="133" t="s">
        <v>999</v>
      </c>
      <c r="D1954" s="139" t="s">
        <v>351</v>
      </c>
      <c r="E1954" s="161"/>
      <c r="F1954" s="134">
        <f t="shared" ref="F1954:G1957" si="489">F1955</f>
        <v>40</v>
      </c>
      <c r="G1954" s="134">
        <f t="shared" si="489"/>
        <v>39.799999999999997</v>
      </c>
      <c r="H1954" s="298">
        <f t="shared" si="486"/>
        <v>99.499999999999986</v>
      </c>
    </row>
    <row r="1955" spans="1:11" ht="18.75" x14ac:dyDescent="0.2">
      <c r="A1955" s="140" t="s">
        <v>354</v>
      </c>
      <c r="B1955" s="148" t="s">
        <v>1037</v>
      </c>
      <c r="C1955" s="148" t="s">
        <v>999</v>
      </c>
      <c r="D1955" s="142" t="s">
        <v>356</v>
      </c>
      <c r="E1955" s="148"/>
      <c r="F1955" s="144">
        <f t="shared" si="489"/>
        <v>40</v>
      </c>
      <c r="G1955" s="144">
        <f t="shared" si="489"/>
        <v>39.799999999999997</v>
      </c>
      <c r="H1955" s="298">
        <f t="shared" si="486"/>
        <v>99.499999999999986</v>
      </c>
    </row>
    <row r="1956" spans="1:11" ht="18.75" x14ac:dyDescent="0.2">
      <c r="A1956" s="145" t="s">
        <v>871</v>
      </c>
      <c r="B1956" s="141" t="s">
        <v>1037</v>
      </c>
      <c r="C1956" s="141" t="s">
        <v>999</v>
      </c>
      <c r="D1956" s="142" t="s">
        <v>356</v>
      </c>
      <c r="E1956" s="141" t="s">
        <v>15</v>
      </c>
      <c r="F1956" s="147">
        <f t="shared" si="489"/>
        <v>40</v>
      </c>
      <c r="G1956" s="147">
        <f t="shared" si="489"/>
        <v>39.799999999999997</v>
      </c>
      <c r="H1956" s="298">
        <f t="shared" si="486"/>
        <v>99.499999999999986</v>
      </c>
    </row>
    <row r="1957" spans="1:11" ht="31.5" x14ac:dyDescent="0.2">
      <c r="A1957" s="145" t="s">
        <v>17</v>
      </c>
      <c r="B1957" s="141" t="s">
        <v>1037</v>
      </c>
      <c r="C1957" s="141" t="s">
        <v>999</v>
      </c>
      <c r="D1957" s="142" t="s">
        <v>356</v>
      </c>
      <c r="E1957" s="141" t="s">
        <v>16</v>
      </c>
      <c r="F1957" s="147">
        <f t="shared" si="489"/>
        <v>40</v>
      </c>
      <c r="G1957" s="147">
        <f t="shared" si="489"/>
        <v>39.799999999999997</v>
      </c>
      <c r="H1957" s="298">
        <f t="shared" si="486"/>
        <v>99.499999999999986</v>
      </c>
    </row>
    <row r="1958" spans="1:11" s="82" customFormat="1" ht="18.75" hidden="1" x14ac:dyDescent="0.2">
      <c r="A1958" s="3" t="s">
        <v>548</v>
      </c>
      <c r="B1958" s="2" t="s">
        <v>1037</v>
      </c>
      <c r="C1958" s="2" t="s">
        <v>999</v>
      </c>
      <c r="D1958" s="1" t="s">
        <v>356</v>
      </c>
      <c r="E1958" s="2" t="s">
        <v>67</v>
      </c>
      <c r="F1958" s="10">
        <f>75-30-5</f>
        <v>40</v>
      </c>
      <c r="G1958" s="10">
        <v>39.799999999999997</v>
      </c>
      <c r="H1958" s="100">
        <f t="shared" si="486"/>
        <v>99.499999999999986</v>
      </c>
    </row>
    <row r="1959" spans="1:11" ht="18.75" x14ac:dyDescent="0.2">
      <c r="A1959" s="128" t="s">
        <v>1080</v>
      </c>
      <c r="B1959" s="129" t="s">
        <v>1032</v>
      </c>
      <c r="C1959" s="129"/>
      <c r="D1959" s="129"/>
      <c r="E1959" s="129"/>
      <c r="F1959" s="130">
        <f>+F1960</f>
        <v>40452</v>
      </c>
      <c r="G1959" s="130">
        <f t="shared" ref="G1959" si="490">+G1960</f>
        <v>35044.728660000001</v>
      </c>
      <c r="H1959" s="131">
        <f t="shared" si="486"/>
        <v>86.632870216552945</v>
      </c>
      <c r="K1959" s="96">
        <f>35044.72866-G1959</f>
        <v>0</v>
      </c>
    </row>
    <row r="1960" spans="1:11" ht="18.75" x14ac:dyDescent="0.2">
      <c r="A1960" s="132" t="s">
        <v>1081</v>
      </c>
      <c r="B1960" s="133" t="s">
        <v>1032</v>
      </c>
      <c r="C1960" s="133" t="s">
        <v>1032</v>
      </c>
      <c r="D1960" s="133"/>
      <c r="E1960" s="133"/>
      <c r="F1960" s="134">
        <f>F1961</f>
        <v>40452</v>
      </c>
      <c r="G1960" s="201">
        <f t="shared" ref="G1960" si="491">G1961</f>
        <v>35044.728660000001</v>
      </c>
      <c r="H1960" s="131">
        <f t="shared" si="486"/>
        <v>86.632870216552945</v>
      </c>
    </row>
    <row r="1961" spans="1:11" ht="31.5" x14ac:dyDescent="0.2">
      <c r="A1961" s="132" t="s">
        <v>1023</v>
      </c>
      <c r="B1961" s="133" t="s">
        <v>1032</v>
      </c>
      <c r="C1961" s="133" t="s">
        <v>1032</v>
      </c>
      <c r="D1961" s="133" t="s">
        <v>178</v>
      </c>
      <c r="E1961" s="211"/>
      <c r="F1961" s="134">
        <f t="shared" ref="F1961:G1961" si="492">F1962</f>
        <v>40452</v>
      </c>
      <c r="G1961" s="201">
        <f t="shared" si="492"/>
        <v>35044.728660000001</v>
      </c>
      <c r="H1961" s="131">
        <f t="shared" si="486"/>
        <v>86.632870216552945</v>
      </c>
    </row>
    <row r="1962" spans="1:11" ht="18.75" x14ac:dyDescent="0.2">
      <c r="A1962" s="135" t="s">
        <v>366</v>
      </c>
      <c r="B1962" s="136" t="s">
        <v>1032</v>
      </c>
      <c r="C1962" s="136" t="s">
        <v>1032</v>
      </c>
      <c r="D1962" s="137" t="s">
        <v>334</v>
      </c>
      <c r="E1962" s="136"/>
      <c r="F1962" s="138">
        <f>F1963+F1978+F1983</f>
        <v>40452</v>
      </c>
      <c r="G1962" s="202">
        <f t="shared" ref="G1962" si="493">G1963+G1978+G1983</f>
        <v>35044.728660000001</v>
      </c>
      <c r="H1962" s="131">
        <f t="shared" si="486"/>
        <v>86.632870216552945</v>
      </c>
    </row>
    <row r="1963" spans="1:11" ht="47.25" x14ac:dyDescent="0.2">
      <c r="A1963" s="154" t="s">
        <v>541</v>
      </c>
      <c r="B1963" s="133" t="s">
        <v>1032</v>
      </c>
      <c r="C1963" s="133" t="s">
        <v>1032</v>
      </c>
      <c r="D1963" s="133" t="s">
        <v>369</v>
      </c>
      <c r="E1963" s="133"/>
      <c r="F1963" s="134">
        <f>F1964+F1971</f>
        <v>11593</v>
      </c>
      <c r="G1963" s="134">
        <f t="shared" ref="G1963" si="494">G1964+G1971</f>
        <v>11589.149659999999</v>
      </c>
      <c r="H1963" s="131">
        <f t="shared" si="486"/>
        <v>99.966787371689804</v>
      </c>
    </row>
    <row r="1964" spans="1:11" ht="47.25" x14ac:dyDescent="0.2">
      <c r="A1964" s="155" t="s">
        <v>542</v>
      </c>
      <c r="B1964" s="148" t="s">
        <v>1032</v>
      </c>
      <c r="C1964" s="148" t="s">
        <v>1032</v>
      </c>
      <c r="D1964" s="148" t="s">
        <v>372</v>
      </c>
      <c r="E1964" s="148"/>
      <c r="F1964" s="144">
        <f>F1965+F1968</f>
        <v>8806</v>
      </c>
      <c r="G1964" s="144">
        <f>G1965+G1968</f>
        <v>8803.8521999999994</v>
      </c>
      <c r="H1964" s="131">
        <f t="shared" si="486"/>
        <v>99.975609811492163</v>
      </c>
    </row>
    <row r="1965" spans="1:11" ht="18.75" x14ac:dyDescent="0.2">
      <c r="A1965" s="157" t="s">
        <v>871</v>
      </c>
      <c r="B1965" s="141" t="s">
        <v>1032</v>
      </c>
      <c r="C1965" s="141" t="s">
        <v>1032</v>
      </c>
      <c r="D1965" s="141" t="s">
        <v>372</v>
      </c>
      <c r="E1965" s="141" t="s">
        <v>15</v>
      </c>
      <c r="F1965" s="144">
        <f t="shared" ref="F1965:G1966" si="495">F1966</f>
        <v>34</v>
      </c>
      <c r="G1965" s="144">
        <f t="shared" si="495"/>
        <v>32.37283</v>
      </c>
      <c r="H1965" s="131">
        <f t="shared" si="486"/>
        <v>95.214205882352942</v>
      </c>
    </row>
    <row r="1966" spans="1:11" ht="31.5" x14ac:dyDescent="0.2">
      <c r="A1966" s="157" t="s">
        <v>17</v>
      </c>
      <c r="B1966" s="141" t="s">
        <v>1032</v>
      </c>
      <c r="C1966" s="141" t="s">
        <v>1032</v>
      </c>
      <c r="D1966" s="141" t="s">
        <v>372</v>
      </c>
      <c r="E1966" s="141" t="s">
        <v>16</v>
      </c>
      <c r="F1966" s="144">
        <f t="shared" si="495"/>
        <v>34</v>
      </c>
      <c r="G1966" s="144">
        <f t="shared" si="495"/>
        <v>32.37283</v>
      </c>
      <c r="H1966" s="131">
        <f t="shared" si="486"/>
        <v>95.214205882352942</v>
      </c>
    </row>
    <row r="1967" spans="1:11" s="82" customFormat="1" ht="18.75" hidden="1" x14ac:dyDescent="0.2">
      <c r="A1967" s="3" t="s">
        <v>548</v>
      </c>
      <c r="B1967" s="2" t="s">
        <v>1032</v>
      </c>
      <c r="C1967" s="2" t="s">
        <v>1032</v>
      </c>
      <c r="D1967" s="2" t="s">
        <v>372</v>
      </c>
      <c r="E1967" s="2" t="s">
        <v>67</v>
      </c>
      <c r="F1967" s="18">
        <f>38+4-8</f>
        <v>34</v>
      </c>
      <c r="G1967" s="18">
        <v>32.37283</v>
      </c>
      <c r="H1967" s="97">
        <f t="shared" si="486"/>
        <v>95.214205882352942</v>
      </c>
    </row>
    <row r="1968" spans="1:11" ht="18.75" x14ac:dyDescent="0.2">
      <c r="A1968" s="157" t="s">
        <v>22</v>
      </c>
      <c r="B1968" s="141" t="s">
        <v>1032</v>
      </c>
      <c r="C1968" s="141" t="s">
        <v>1032</v>
      </c>
      <c r="D1968" s="141" t="s">
        <v>372</v>
      </c>
      <c r="E1968" s="141" t="s">
        <v>23</v>
      </c>
      <c r="F1968" s="147">
        <f t="shared" ref="F1968:G1969" si="496">F1969</f>
        <v>8772</v>
      </c>
      <c r="G1968" s="147">
        <f t="shared" si="496"/>
        <v>8771.4793699999991</v>
      </c>
      <c r="H1968" s="131">
        <f t="shared" si="486"/>
        <v>99.994064865481064</v>
      </c>
    </row>
    <row r="1969" spans="1:8" ht="31.5" x14ac:dyDescent="0.2">
      <c r="A1969" s="157" t="s">
        <v>108</v>
      </c>
      <c r="B1969" s="141" t="s">
        <v>1032</v>
      </c>
      <c r="C1969" s="141" t="s">
        <v>1032</v>
      </c>
      <c r="D1969" s="141" t="s">
        <v>372</v>
      </c>
      <c r="E1969" s="141" t="s">
        <v>126</v>
      </c>
      <c r="F1969" s="147">
        <f t="shared" si="496"/>
        <v>8772</v>
      </c>
      <c r="G1969" s="147">
        <f t="shared" si="496"/>
        <v>8771.4793699999991</v>
      </c>
      <c r="H1969" s="131">
        <f t="shared" si="486"/>
        <v>99.994064865481064</v>
      </c>
    </row>
    <row r="1970" spans="1:8" s="82" customFormat="1" ht="31.5" hidden="1" x14ac:dyDescent="0.2">
      <c r="A1970" s="28" t="s">
        <v>116</v>
      </c>
      <c r="B1970" s="2" t="s">
        <v>1032</v>
      </c>
      <c r="C1970" s="2" t="s">
        <v>1032</v>
      </c>
      <c r="D1970" s="2" t="s">
        <v>372</v>
      </c>
      <c r="E1970" s="2" t="s">
        <v>127</v>
      </c>
      <c r="F1970" s="10">
        <f>7962+896-86</f>
        <v>8772</v>
      </c>
      <c r="G1970" s="10">
        <v>8771.4793699999991</v>
      </c>
      <c r="H1970" s="97">
        <f t="shared" si="486"/>
        <v>99.994064865481064</v>
      </c>
    </row>
    <row r="1971" spans="1:8" ht="31.5" x14ac:dyDescent="0.2">
      <c r="A1971" s="140" t="s">
        <v>624</v>
      </c>
      <c r="B1971" s="141" t="s">
        <v>1032</v>
      </c>
      <c r="C1971" s="141" t="s">
        <v>1032</v>
      </c>
      <c r="D1971" s="148" t="s">
        <v>625</v>
      </c>
      <c r="E1971" s="141"/>
      <c r="F1971" s="147">
        <f>F1972+F1975</f>
        <v>2787</v>
      </c>
      <c r="G1971" s="147">
        <f t="shared" ref="G1971" si="497">G1972+G1975</f>
        <v>2785.2974599999998</v>
      </c>
      <c r="H1971" s="131">
        <f t="shared" si="486"/>
        <v>99.93891137423752</v>
      </c>
    </row>
    <row r="1972" spans="1:8" ht="18.75" x14ac:dyDescent="0.2">
      <c r="A1972" s="145" t="s">
        <v>871</v>
      </c>
      <c r="B1972" s="141" t="s">
        <v>1032</v>
      </c>
      <c r="C1972" s="141" t="s">
        <v>1032</v>
      </c>
      <c r="D1972" s="141" t="s">
        <v>625</v>
      </c>
      <c r="E1972" s="141" t="s">
        <v>15</v>
      </c>
      <c r="F1972" s="158">
        <f>F1973</f>
        <v>11</v>
      </c>
      <c r="G1972" s="158">
        <f t="shared" ref="G1972:G1973" si="498">G1973</f>
        <v>9.5987600000000004</v>
      </c>
      <c r="H1972" s="131">
        <f t="shared" si="486"/>
        <v>87.261454545454555</v>
      </c>
    </row>
    <row r="1973" spans="1:8" ht="31.5" x14ac:dyDescent="0.2">
      <c r="A1973" s="145" t="s">
        <v>17</v>
      </c>
      <c r="B1973" s="141" t="s">
        <v>1032</v>
      </c>
      <c r="C1973" s="141" t="s">
        <v>1032</v>
      </c>
      <c r="D1973" s="141" t="s">
        <v>625</v>
      </c>
      <c r="E1973" s="141" t="s">
        <v>16</v>
      </c>
      <c r="F1973" s="158">
        <f>F1974</f>
        <v>11</v>
      </c>
      <c r="G1973" s="158">
        <f t="shared" si="498"/>
        <v>9.5987600000000004</v>
      </c>
      <c r="H1973" s="131">
        <f t="shared" si="486"/>
        <v>87.261454545454555</v>
      </c>
    </row>
    <row r="1974" spans="1:8" s="82" customFormat="1" ht="18.75" hidden="1" x14ac:dyDescent="0.2">
      <c r="A1974" s="3" t="s">
        <v>549</v>
      </c>
      <c r="B1974" s="2" t="s">
        <v>1032</v>
      </c>
      <c r="C1974" s="2" t="s">
        <v>1032</v>
      </c>
      <c r="D1974" s="2" t="s">
        <v>625</v>
      </c>
      <c r="E1974" s="2" t="s">
        <v>67</v>
      </c>
      <c r="F1974" s="14">
        <f>16-5</f>
        <v>11</v>
      </c>
      <c r="G1974" s="14">
        <v>9.5987600000000004</v>
      </c>
      <c r="H1974" s="97">
        <f t="shared" si="486"/>
        <v>87.261454545454555</v>
      </c>
    </row>
    <row r="1975" spans="1:8" ht="18.75" x14ac:dyDescent="0.2">
      <c r="A1975" s="145" t="s">
        <v>22</v>
      </c>
      <c r="B1975" s="141" t="s">
        <v>1032</v>
      </c>
      <c r="C1975" s="141" t="s">
        <v>1032</v>
      </c>
      <c r="D1975" s="141" t="s">
        <v>625</v>
      </c>
      <c r="E1975" s="141" t="s">
        <v>23</v>
      </c>
      <c r="F1975" s="158">
        <f>F1976</f>
        <v>2776</v>
      </c>
      <c r="G1975" s="158">
        <f t="shared" ref="G1975:G1976" si="499">G1976</f>
        <v>2775.6986999999999</v>
      </c>
      <c r="H1975" s="131">
        <f t="shared" si="486"/>
        <v>99.9891462536023</v>
      </c>
    </row>
    <row r="1976" spans="1:8" ht="31.5" x14ac:dyDescent="0.2">
      <c r="A1976" s="145" t="s">
        <v>108</v>
      </c>
      <c r="B1976" s="141" t="s">
        <v>1032</v>
      </c>
      <c r="C1976" s="141" t="s">
        <v>1032</v>
      </c>
      <c r="D1976" s="141" t="s">
        <v>625</v>
      </c>
      <c r="E1976" s="141" t="s">
        <v>126</v>
      </c>
      <c r="F1976" s="158">
        <f>F1977</f>
        <v>2776</v>
      </c>
      <c r="G1976" s="158">
        <f t="shared" si="499"/>
        <v>2775.6986999999999</v>
      </c>
      <c r="H1976" s="131">
        <f t="shared" si="486"/>
        <v>99.9891462536023</v>
      </c>
    </row>
    <row r="1977" spans="1:8" s="82" customFormat="1" ht="31.5" hidden="1" x14ac:dyDescent="0.2">
      <c r="A1977" s="3" t="s">
        <v>116</v>
      </c>
      <c r="B1977" s="2" t="s">
        <v>1032</v>
      </c>
      <c r="C1977" s="2" t="s">
        <v>1032</v>
      </c>
      <c r="D1977" s="2" t="s">
        <v>625</v>
      </c>
      <c r="E1977" s="2" t="s">
        <v>127</v>
      </c>
      <c r="F1977" s="14">
        <f>3402-400-226</f>
        <v>2776</v>
      </c>
      <c r="G1977" s="14">
        <v>2775.6986999999999</v>
      </c>
      <c r="H1977" s="97">
        <f t="shared" si="486"/>
        <v>99.9891462536023</v>
      </c>
    </row>
    <row r="1978" spans="1:8" ht="31.5" x14ac:dyDescent="0.2">
      <c r="A1978" s="132" t="s">
        <v>251</v>
      </c>
      <c r="B1978" s="141" t="s">
        <v>1032</v>
      </c>
      <c r="C1978" s="141" t="s">
        <v>1032</v>
      </c>
      <c r="D1978" s="139" t="s">
        <v>370</v>
      </c>
      <c r="E1978" s="161"/>
      <c r="F1978" s="164">
        <f t="shared" ref="F1978:G1981" si="500">F1979</f>
        <v>28559</v>
      </c>
      <c r="G1978" s="164">
        <f t="shared" si="500"/>
        <v>23155.579000000002</v>
      </c>
      <c r="H1978" s="131">
        <f t="shared" si="486"/>
        <v>81.079796211351933</v>
      </c>
    </row>
    <row r="1979" spans="1:8" ht="31.5" x14ac:dyDescent="0.2">
      <c r="A1979" s="140" t="s">
        <v>130</v>
      </c>
      <c r="B1979" s="141" t="s">
        <v>1032</v>
      </c>
      <c r="C1979" s="141" t="s">
        <v>1032</v>
      </c>
      <c r="D1979" s="148" t="s">
        <v>371</v>
      </c>
      <c r="E1979" s="148"/>
      <c r="F1979" s="168">
        <f t="shared" si="500"/>
        <v>28559</v>
      </c>
      <c r="G1979" s="168">
        <f t="shared" si="500"/>
        <v>23155.579000000002</v>
      </c>
      <c r="H1979" s="131">
        <f t="shared" si="486"/>
        <v>81.079796211351933</v>
      </c>
    </row>
    <row r="1980" spans="1:8" ht="18.75" x14ac:dyDescent="0.2">
      <c r="A1980" s="145" t="s">
        <v>871</v>
      </c>
      <c r="B1980" s="141" t="s">
        <v>1032</v>
      </c>
      <c r="C1980" s="141" t="s">
        <v>1032</v>
      </c>
      <c r="D1980" s="141" t="s">
        <v>371</v>
      </c>
      <c r="E1980" s="141" t="s">
        <v>15</v>
      </c>
      <c r="F1980" s="166">
        <f t="shared" si="500"/>
        <v>28559</v>
      </c>
      <c r="G1980" s="166">
        <f t="shared" si="500"/>
        <v>23155.579000000002</v>
      </c>
      <c r="H1980" s="131">
        <f t="shared" si="486"/>
        <v>81.079796211351933</v>
      </c>
    </row>
    <row r="1981" spans="1:8" ht="31.5" x14ac:dyDescent="0.2">
      <c r="A1981" s="145" t="s">
        <v>17</v>
      </c>
      <c r="B1981" s="141" t="s">
        <v>1032</v>
      </c>
      <c r="C1981" s="141" t="s">
        <v>1032</v>
      </c>
      <c r="D1981" s="141" t="s">
        <v>371</v>
      </c>
      <c r="E1981" s="141" t="s">
        <v>16</v>
      </c>
      <c r="F1981" s="166">
        <f t="shared" si="500"/>
        <v>28559</v>
      </c>
      <c r="G1981" s="166">
        <f t="shared" si="500"/>
        <v>23155.579000000002</v>
      </c>
      <c r="H1981" s="131">
        <f t="shared" si="486"/>
        <v>81.079796211351933</v>
      </c>
    </row>
    <row r="1982" spans="1:8" s="82" customFormat="1" ht="18.75" hidden="1" x14ac:dyDescent="0.2">
      <c r="A1982" s="3" t="s">
        <v>549</v>
      </c>
      <c r="B1982" s="2" t="s">
        <v>1032</v>
      </c>
      <c r="C1982" s="2" t="s">
        <v>1032</v>
      </c>
      <c r="D1982" s="2" t="s">
        <v>371</v>
      </c>
      <c r="E1982" s="2" t="s">
        <v>67</v>
      </c>
      <c r="F1982" s="36">
        <f>36676-8117</f>
        <v>28559</v>
      </c>
      <c r="G1982" s="14">
        <v>23155.579000000002</v>
      </c>
      <c r="H1982" s="97">
        <f t="shared" si="486"/>
        <v>81.079796211351933</v>
      </c>
    </row>
    <row r="1983" spans="1:8" ht="47.25" x14ac:dyDescent="0.2">
      <c r="A1983" s="132" t="s">
        <v>773</v>
      </c>
      <c r="B1983" s="141" t="s">
        <v>1032</v>
      </c>
      <c r="C1983" s="141" t="s">
        <v>1032</v>
      </c>
      <c r="D1983" s="139" t="s">
        <v>774</v>
      </c>
      <c r="E1983" s="301"/>
      <c r="F1983" s="164">
        <f>F1984</f>
        <v>300</v>
      </c>
      <c r="G1983" s="164">
        <f t="shared" ref="G1983:G1986" si="501">G1984</f>
        <v>300</v>
      </c>
      <c r="H1983" s="131">
        <f t="shared" si="486"/>
        <v>100</v>
      </c>
    </row>
    <row r="1984" spans="1:8" ht="31.5" x14ac:dyDescent="0.2">
      <c r="A1984" s="140" t="s">
        <v>775</v>
      </c>
      <c r="B1984" s="141" t="s">
        <v>1032</v>
      </c>
      <c r="C1984" s="141" t="s">
        <v>1032</v>
      </c>
      <c r="D1984" s="148" t="s">
        <v>776</v>
      </c>
      <c r="E1984" s="148"/>
      <c r="F1984" s="166">
        <f>F1985</f>
        <v>300</v>
      </c>
      <c r="G1984" s="166">
        <f t="shared" si="501"/>
        <v>300</v>
      </c>
      <c r="H1984" s="131">
        <f t="shared" si="486"/>
        <v>100</v>
      </c>
    </row>
    <row r="1985" spans="1:12" ht="31.5" x14ac:dyDescent="0.2">
      <c r="A1985" s="145" t="s">
        <v>18</v>
      </c>
      <c r="B1985" s="141" t="s">
        <v>1032</v>
      </c>
      <c r="C1985" s="141" t="s">
        <v>1032</v>
      </c>
      <c r="D1985" s="146" t="s">
        <v>776</v>
      </c>
      <c r="E1985" s="159">
        <v>600</v>
      </c>
      <c r="F1985" s="166">
        <f>F1986</f>
        <v>300</v>
      </c>
      <c r="G1985" s="166">
        <f t="shared" si="501"/>
        <v>300</v>
      </c>
      <c r="H1985" s="131">
        <f t="shared" si="486"/>
        <v>100</v>
      </c>
    </row>
    <row r="1986" spans="1:12" ht="31.5" x14ac:dyDescent="0.2">
      <c r="A1986" s="145" t="s">
        <v>26</v>
      </c>
      <c r="B1986" s="141" t="s">
        <v>1032</v>
      </c>
      <c r="C1986" s="141" t="s">
        <v>1032</v>
      </c>
      <c r="D1986" s="146" t="s">
        <v>776</v>
      </c>
      <c r="E1986" s="159">
        <v>630</v>
      </c>
      <c r="F1986" s="166">
        <f>F1987</f>
        <v>300</v>
      </c>
      <c r="G1986" s="166">
        <f t="shared" si="501"/>
        <v>300</v>
      </c>
      <c r="H1986" s="131">
        <f t="shared" si="486"/>
        <v>100</v>
      </c>
    </row>
    <row r="1987" spans="1:12" s="82" customFormat="1" ht="31.5" hidden="1" x14ac:dyDescent="0.2">
      <c r="A1987" s="3" t="s">
        <v>777</v>
      </c>
      <c r="B1987" s="2" t="s">
        <v>1032</v>
      </c>
      <c r="C1987" s="2" t="s">
        <v>1032</v>
      </c>
      <c r="D1987" s="4" t="s">
        <v>776</v>
      </c>
      <c r="E1987" s="2" t="s">
        <v>472</v>
      </c>
      <c r="F1987" s="36">
        <v>300</v>
      </c>
      <c r="G1987" s="14">
        <v>300</v>
      </c>
      <c r="H1987" s="97">
        <f t="shared" si="486"/>
        <v>100</v>
      </c>
    </row>
    <row r="1988" spans="1:12" ht="18.75" x14ac:dyDescent="0.2">
      <c r="A1988" s="128" t="s">
        <v>1082</v>
      </c>
      <c r="B1988" s="129">
        <v>10</v>
      </c>
      <c r="C1988" s="129"/>
      <c r="D1988" s="129"/>
      <c r="E1988" s="129"/>
      <c r="F1988" s="130">
        <f>F1989+F2000+F2087</f>
        <v>243965.8</v>
      </c>
      <c r="G1988" s="130">
        <f>G1989+G2000+G2087</f>
        <v>239368.08198999998</v>
      </c>
      <c r="H1988" s="131">
        <f t="shared" si="486"/>
        <v>98.115425190743949</v>
      </c>
      <c r="I1988" s="96"/>
      <c r="J1988" s="111"/>
      <c r="K1988" s="112">
        <f>239368.08199-G1988</f>
        <v>0</v>
      </c>
      <c r="L1988" s="111"/>
    </row>
    <row r="1989" spans="1:12" ht="18.75" x14ac:dyDescent="0.2">
      <c r="A1989" s="132" t="s">
        <v>1083</v>
      </c>
      <c r="B1989" s="133">
        <v>10</v>
      </c>
      <c r="C1989" s="133" t="s">
        <v>992</v>
      </c>
      <c r="D1989" s="161"/>
      <c r="E1989" s="161"/>
      <c r="F1989" s="134">
        <f>F1991</f>
        <v>15114</v>
      </c>
      <c r="G1989" s="201">
        <f>G1991</f>
        <v>14776.29809</v>
      </c>
      <c r="H1989" s="131">
        <f t="shared" si="486"/>
        <v>97.765635106523746</v>
      </c>
    </row>
    <row r="1990" spans="1:12" ht="31.5" x14ac:dyDescent="0.2">
      <c r="A1990" s="132" t="s">
        <v>991</v>
      </c>
      <c r="B1990" s="133" t="s">
        <v>1084</v>
      </c>
      <c r="C1990" s="133" t="s">
        <v>992</v>
      </c>
      <c r="D1990" s="133" t="s">
        <v>156</v>
      </c>
      <c r="E1990" s="161"/>
      <c r="F1990" s="134">
        <f t="shared" ref="F1990:G1992" si="502">F1991</f>
        <v>15114</v>
      </c>
      <c r="G1990" s="201">
        <f t="shared" si="502"/>
        <v>14776.29809</v>
      </c>
      <c r="H1990" s="131">
        <f t="shared" si="486"/>
        <v>97.765635106523746</v>
      </c>
    </row>
    <row r="1991" spans="1:12" ht="18.75" x14ac:dyDescent="0.2">
      <c r="A1991" s="135" t="s">
        <v>349</v>
      </c>
      <c r="B1991" s="136" t="s">
        <v>1084</v>
      </c>
      <c r="C1991" s="136" t="s">
        <v>992</v>
      </c>
      <c r="D1991" s="137" t="s">
        <v>350</v>
      </c>
      <c r="E1991" s="136"/>
      <c r="F1991" s="138">
        <f t="shared" si="502"/>
        <v>15114</v>
      </c>
      <c r="G1991" s="202">
        <f t="shared" si="502"/>
        <v>14776.29809</v>
      </c>
      <c r="H1991" s="131">
        <f t="shared" si="486"/>
        <v>97.765635106523746</v>
      </c>
    </row>
    <row r="1992" spans="1:12" ht="31.5" x14ac:dyDescent="0.2">
      <c r="A1992" s="132" t="s">
        <v>1003</v>
      </c>
      <c r="B1992" s="133" t="s">
        <v>1084</v>
      </c>
      <c r="C1992" s="133" t="s">
        <v>992</v>
      </c>
      <c r="D1992" s="139" t="s">
        <v>352</v>
      </c>
      <c r="E1992" s="136"/>
      <c r="F1992" s="134">
        <f t="shared" si="502"/>
        <v>15114</v>
      </c>
      <c r="G1992" s="201">
        <f t="shared" si="502"/>
        <v>14776.29809</v>
      </c>
      <c r="H1992" s="131">
        <f t="shared" si="486"/>
        <v>97.765635106523746</v>
      </c>
    </row>
    <row r="1993" spans="1:12" ht="18.75" x14ac:dyDescent="0.2">
      <c r="A1993" s="140" t="s">
        <v>437</v>
      </c>
      <c r="B1993" s="148" t="s">
        <v>1084</v>
      </c>
      <c r="C1993" s="148" t="s">
        <v>992</v>
      </c>
      <c r="D1993" s="142" t="s">
        <v>355</v>
      </c>
      <c r="E1993" s="141"/>
      <c r="F1993" s="144">
        <f>F1994+F1997</f>
        <v>15114</v>
      </c>
      <c r="G1993" s="296">
        <f t="shared" ref="G1993" si="503">G1994+G1997</f>
        <v>14776.29809</v>
      </c>
      <c r="H1993" s="131">
        <f t="shared" si="486"/>
        <v>97.765635106523746</v>
      </c>
    </row>
    <row r="1994" spans="1:12" ht="18.75" x14ac:dyDescent="0.2">
      <c r="A1994" s="157" t="s">
        <v>871</v>
      </c>
      <c r="B1994" s="141" t="s">
        <v>1084</v>
      </c>
      <c r="C1994" s="141" t="s">
        <v>992</v>
      </c>
      <c r="D1994" s="146" t="s">
        <v>355</v>
      </c>
      <c r="E1994" s="141" t="s">
        <v>15</v>
      </c>
      <c r="F1994" s="147">
        <f t="shared" ref="F1994:G1995" si="504">F1995</f>
        <v>112</v>
      </c>
      <c r="G1994" s="152">
        <f t="shared" si="504"/>
        <v>67.300079999999994</v>
      </c>
      <c r="H1994" s="131">
        <f t="shared" si="486"/>
        <v>60.089357142857139</v>
      </c>
    </row>
    <row r="1995" spans="1:12" ht="31.5" x14ac:dyDescent="0.2">
      <c r="A1995" s="157" t="s">
        <v>17</v>
      </c>
      <c r="B1995" s="141" t="s">
        <v>1084</v>
      </c>
      <c r="C1995" s="141" t="s">
        <v>992</v>
      </c>
      <c r="D1995" s="146" t="s">
        <v>355</v>
      </c>
      <c r="E1995" s="141" t="s">
        <v>16</v>
      </c>
      <c r="F1995" s="147">
        <f t="shared" si="504"/>
        <v>112</v>
      </c>
      <c r="G1995" s="152">
        <f>G1996</f>
        <v>67.300079999999994</v>
      </c>
      <c r="H1995" s="131">
        <f t="shared" si="486"/>
        <v>60.089357142857139</v>
      </c>
    </row>
    <row r="1996" spans="1:12" s="82" customFormat="1" ht="18.75" hidden="1" x14ac:dyDescent="0.2">
      <c r="A1996" s="3" t="s">
        <v>548</v>
      </c>
      <c r="B1996" s="2" t="s">
        <v>1084</v>
      </c>
      <c r="C1996" s="2" t="s">
        <v>992</v>
      </c>
      <c r="D1996" s="4" t="s">
        <v>355</v>
      </c>
      <c r="E1996" s="2" t="s">
        <v>67</v>
      </c>
      <c r="F1996" s="62">
        <f>72+40</f>
        <v>112</v>
      </c>
      <c r="G1996" s="63">
        <v>67.300079999999994</v>
      </c>
      <c r="H1996" s="97">
        <f t="shared" si="486"/>
        <v>60.089357142857139</v>
      </c>
    </row>
    <row r="1997" spans="1:12" ht="18.75" x14ac:dyDescent="0.2">
      <c r="A1997" s="145" t="s">
        <v>22</v>
      </c>
      <c r="B1997" s="141" t="s">
        <v>1084</v>
      </c>
      <c r="C1997" s="141" t="s">
        <v>992</v>
      </c>
      <c r="D1997" s="146" t="s">
        <v>355</v>
      </c>
      <c r="E1997" s="141" t="s">
        <v>23</v>
      </c>
      <c r="F1997" s="147">
        <f t="shared" ref="F1997:G1998" si="505">F1998</f>
        <v>15002</v>
      </c>
      <c r="G1997" s="152">
        <f t="shared" si="505"/>
        <v>14708.998009999999</v>
      </c>
      <c r="H1997" s="131">
        <f t="shared" si="486"/>
        <v>98.046913811491805</v>
      </c>
    </row>
    <row r="1998" spans="1:12" ht="31.5" x14ac:dyDescent="0.2">
      <c r="A1998" s="145" t="s">
        <v>108</v>
      </c>
      <c r="B1998" s="141" t="s">
        <v>1084</v>
      </c>
      <c r="C1998" s="141" t="s">
        <v>992</v>
      </c>
      <c r="D1998" s="146" t="s">
        <v>355</v>
      </c>
      <c r="E1998" s="141" t="s">
        <v>126</v>
      </c>
      <c r="F1998" s="147">
        <f t="shared" si="505"/>
        <v>15002</v>
      </c>
      <c r="G1998" s="152">
        <f t="shared" si="505"/>
        <v>14708.998009999999</v>
      </c>
      <c r="H1998" s="131">
        <f t="shared" si="486"/>
        <v>98.046913811491805</v>
      </c>
    </row>
    <row r="1999" spans="1:12" s="82" customFormat="1" ht="31.5" hidden="1" x14ac:dyDescent="0.2">
      <c r="A1999" s="3" t="s">
        <v>116</v>
      </c>
      <c r="B1999" s="2">
        <v>10</v>
      </c>
      <c r="C1999" s="2" t="s">
        <v>992</v>
      </c>
      <c r="D1999" s="4" t="s">
        <v>355</v>
      </c>
      <c r="E1999" s="2" t="s">
        <v>127</v>
      </c>
      <c r="F1999" s="62">
        <f>14202+800</f>
        <v>15002</v>
      </c>
      <c r="G1999" s="63">
        <v>14708.998009999999</v>
      </c>
      <c r="H1999" s="97">
        <f t="shared" si="486"/>
        <v>98.046913811491805</v>
      </c>
    </row>
    <row r="2000" spans="1:12" ht="18.75" x14ac:dyDescent="0.2">
      <c r="A2000" s="132" t="s">
        <v>1085</v>
      </c>
      <c r="B2000" s="133">
        <v>10</v>
      </c>
      <c r="C2000" s="133" t="s">
        <v>994</v>
      </c>
      <c r="D2000" s="161"/>
      <c r="E2000" s="161"/>
      <c r="F2000" s="134">
        <f>F2001+F2081</f>
        <v>75805.2</v>
      </c>
      <c r="G2000" s="201">
        <f>G2001+G2081</f>
        <v>72465.310300000012</v>
      </c>
      <c r="H2000" s="131">
        <f t="shared" si="486"/>
        <v>95.594115311350691</v>
      </c>
    </row>
    <row r="2001" spans="1:8" ht="31.5" x14ac:dyDescent="0.2">
      <c r="A2001" s="132" t="s">
        <v>1078</v>
      </c>
      <c r="B2001" s="133" t="s">
        <v>1084</v>
      </c>
      <c r="C2001" s="133" t="s">
        <v>994</v>
      </c>
      <c r="D2001" s="133" t="s">
        <v>178</v>
      </c>
      <c r="E2001" s="133"/>
      <c r="F2001" s="134">
        <f>F2002</f>
        <v>75305.2</v>
      </c>
      <c r="G2001" s="201">
        <f>G2002</f>
        <v>71965.310300000012</v>
      </c>
      <c r="H2001" s="131">
        <f t="shared" ref="H2001:H2064" si="506">G2001/F2001*100</f>
        <v>95.56486178909293</v>
      </c>
    </row>
    <row r="2002" spans="1:8" ht="18.75" x14ac:dyDescent="0.2">
      <c r="A2002" s="135" t="s">
        <v>1086</v>
      </c>
      <c r="B2002" s="136" t="s">
        <v>1084</v>
      </c>
      <c r="C2002" s="136" t="s">
        <v>994</v>
      </c>
      <c r="D2002" s="137" t="s">
        <v>311</v>
      </c>
      <c r="E2002" s="136"/>
      <c r="F2002" s="138">
        <f>F2003+F2018+F2067+F2073</f>
        <v>75305.2</v>
      </c>
      <c r="G2002" s="202">
        <f t="shared" ref="G2002" si="507">G2003+G2018+G2067+G2073</f>
        <v>71965.310300000012</v>
      </c>
      <c r="H2002" s="131">
        <f t="shared" si="506"/>
        <v>95.56486178909293</v>
      </c>
    </row>
    <row r="2003" spans="1:8" ht="18.75" x14ac:dyDescent="0.2">
      <c r="A2003" s="132" t="s">
        <v>310</v>
      </c>
      <c r="B2003" s="133" t="s">
        <v>1084</v>
      </c>
      <c r="C2003" s="133" t="s">
        <v>994</v>
      </c>
      <c r="D2003" s="139" t="s">
        <v>312</v>
      </c>
      <c r="E2003" s="161"/>
      <c r="F2003" s="134">
        <f>F2004+F2011</f>
        <v>12654.2</v>
      </c>
      <c r="G2003" s="201">
        <f t="shared" ref="G2003" si="508">G2004+G2011</f>
        <v>12607.4917</v>
      </c>
      <c r="H2003" s="131">
        <f t="shared" si="506"/>
        <v>99.630886978236475</v>
      </c>
    </row>
    <row r="2004" spans="1:8" ht="78.75" x14ac:dyDescent="0.2">
      <c r="A2004" s="155" t="s">
        <v>1087</v>
      </c>
      <c r="B2004" s="148" t="s">
        <v>1084</v>
      </c>
      <c r="C2004" s="148" t="s">
        <v>994</v>
      </c>
      <c r="D2004" s="142" t="s">
        <v>313</v>
      </c>
      <c r="E2004" s="148"/>
      <c r="F2004" s="144">
        <f>F2005+F2008</f>
        <v>7886</v>
      </c>
      <c r="G2004" s="144">
        <f>G2005+G2008</f>
        <v>7883.2955400000001</v>
      </c>
      <c r="H2004" s="131">
        <f t="shared" si="506"/>
        <v>99.965705554146595</v>
      </c>
    </row>
    <row r="2005" spans="1:8" ht="18.75" x14ac:dyDescent="0.2">
      <c r="A2005" s="157" t="s">
        <v>871</v>
      </c>
      <c r="B2005" s="141" t="s">
        <v>1084</v>
      </c>
      <c r="C2005" s="141" t="s">
        <v>994</v>
      </c>
      <c r="D2005" s="146" t="s">
        <v>313</v>
      </c>
      <c r="E2005" s="141" t="s">
        <v>15</v>
      </c>
      <c r="F2005" s="147">
        <f t="shared" ref="F2005:G2006" si="509">F2006</f>
        <v>38</v>
      </c>
      <c r="G2005" s="147">
        <f t="shared" si="509"/>
        <v>35.295540000000003</v>
      </c>
      <c r="H2005" s="131">
        <f t="shared" si="506"/>
        <v>92.88300000000001</v>
      </c>
    </row>
    <row r="2006" spans="1:8" ht="31.5" x14ac:dyDescent="0.2">
      <c r="A2006" s="157" t="s">
        <v>17</v>
      </c>
      <c r="B2006" s="141" t="s">
        <v>1084</v>
      </c>
      <c r="C2006" s="141" t="s">
        <v>994</v>
      </c>
      <c r="D2006" s="146" t="s">
        <v>313</v>
      </c>
      <c r="E2006" s="141" t="s">
        <v>16</v>
      </c>
      <c r="F2006" s="147">
        <f t="shared" si="509"/>
        <v>38</v>
      </c>
      <c r="G2006" s="147">
        <f t="shared" si="509"/>
        <v>35.295540000000003</v>
      </c>
      <c r="H2006" s="131">
        <f t="shared" si="506"/>
        <v>92.88300000000001</v>
      </c>
    </row>
    <row r="2007" spans="1:8" s="82" customFormat="1" ht="18.75" hidden="1" x14ac:dyDescent="0.2">
      <c r="A2007" s="3" t="s">
        <v>548</v>
      </c>
      <c r="B2007" s="2">
        <v>10</v>
      </c>
      <c r="C2007" s="2" t="s">
        <v>994</v>
      </c>
      <c r="D2007" s="4" t="s">
        <v>313</v>
      </c>
      <c r="E2007" s="2" t="s">
        <v>67</v>
      </c>
      <c r="F2007" s="10">
        <f>24+114-100</f>
        <v>38</v>
      </c>
      <c r="G2007" s="10">
        <v>35.295540000000003</v>
      </c>
      <c r="H2007" s="97">
        <f t="shared" si="506"/>
        <v>92.88300000000001</v>
      </c>
    </row>
    <row r="2008" spans="1:8" ht="18.75" x14ac:dyDescent="0.2">
      <c r="A2008" s="157" t="s">
        <v>22</v>
      </c>
      <c r="B2008" s="141" t="s">
        <v>1084</v>
      </c>
      <c r="C2008" s="141" t="s">
        <v>994</v>
      </c>
      <c r="D2008" s="146" t="s">
        <v>313</v>
      </c>
      <c r="E2008" s="159">
        <v>300</v>
      </c>
      <c r="F2008" s="147">
        <f t="shared" ref="F2008:G2009" si="510">F2009</f>
        <v>7848</v>
      </c>
      <c r="G2008" s="147">
        <f t="shared" si="510"/>
        <v>7848</v>
      </c>
      <c r="H2008" s="131">
        <f t="shared" si="506"/>
        <v>100</v>
      </c>
    </row>
    <row r="2009" spans="1:8" ht="18.75" x14ac:dyDescent="0.2">
      <c r="A2009" s="157" t="s">
        <v>36</v>
      </c>
      <c r="B2009" s="141">
        <v>10</v>
      </c>
      <c r="C2009" s="141" t="s">
        <v>994</v>
      </c>
      <c r="D2009" s="146" t="s">
        <v>313</v>
      </c>
      <c r="E2009" s="159">
        <v>310</v>
      </c>
      <c r="F2009" s="147">
        <f t="shared" si="510"/>
        <v>7848</v>
      </c>
      <c r="G2009" s="147">
        <f t="shared" si="510"/>
        <v>7848</v>
      </c>
      <c r="H2009" s="131">
        <f t="shared" si="506"/>
        <v>100</v>
      </c>
    </row>
    <row r="2010" spans="1:8" s="82" customFormat="1" ht="31.5" hidden="1" x14ac:dyDescent="0.2">
      <c r="A2010" s="28" t="s">
        <v>121</v>
      </c>
      <c r="B2010" s="2">
        <v>10</v>
      </c>
      <c r="C2010" s="2" t="s">
        <v>994</v>
      </c>
      <c r="D2010" s="4" t="s">
        <v>313</v>
      </c>
      <c r="E2010" s="9">
        <v>313</v>
      </c>
      <c r="F2010" s="10">
        <f>4702+2446+800-300+200</f>
        <v>7848</v>
      </c>
      <c r="G2010" s="10">
        <v>7848</v>
      </c>
      <c r="H2010" s="97">
        <f t="shared" si="506"/>
        <v>100</v>
      </c>
    </row>
    <row r="2011" spans="1:8" ht="31.5" x14ac:dyDescent="0.2">
      <c r="A2011" s="155" t="s">
        <v>107</v>
      </c>
      <c r="B2011" s="148">
        <v>10</v>
      </c>
      <c r="C2011" s="148" t="s">
        <v>994</v>
      </c>
      <c r="D2011" s="142" t="s">
        <v>314</v>
      </c>
      <c r="E2011" s="148"/>
      <c r="F2011" s="144">
        <f>F2012+F2015</f>
        <v>4768.2</v>
      </c>
      <c r="G2011" s="144">
        <f>G2012+G2015</f>
        <v>4724.1961600000004</v>
      </c>
      <c r="H2011" s="131">
        <f t="shared" si="506"/>
        <v>99.077139381737354</v>
      </c>
    </row>
    <row r="2012" spans="1:8" ht="18.75" x14ac:dyDescent="0.2">
      <c r="A2012" s="157" t="s">
        <v>871</v>
      </c>
      <c r="B2012" s="141" t="s">
        <v>1084</v>
      </c>
      <c r="C2012" s="141" t="s">
        <v>994</v>
      </c>
      <c r="D2012" s="146" t="s">
        <v>314</v>
      </c>
      <c r="E2012" s="141" t="s">
        <v>15</v>
      </c>
      <c r="F2012" s="147">
        <f t="shared" ref="F2012:G2013" si="511">F2013</f>
        <v>20.5</v>
      </c>
      <c r="G2012" s="147">
        <f t="shared" si="511"/>
        <v>20.00816</v>
      </c>
      <c r="H2012" s="131">
        <f t="shared" si="506"/>
        <v>97.600780487804883</v>
      </c>
    </row>
    <row r="2013" spans="1:8" ht="31.5" x14ac:dyDescent="0.2">
      <c r="A2013" s="157" t="s">
        <v>17</v>
      </c>
      <c r="B2013" s="141" t="s">
        <v>1084</v>
      </c>
      <c r="C2013" s="141" t="s">
        <v>994</v>
      </c>
      <c r="D2013" s="146" t="s">
        <v>314</v>
      </c>
      <c r="E2013" s="141" t="s">
        <v>16</v>
      </c>
      <c r="F2013" s="147">
        <f t="shared" si="511"/>
        <v>20.5</v>
      </c>
      <c r="G2013" s="147">
        <f t="shared" si="511"/>
        <v>20.00816</v>
      </c>
      <c r="H2013" s="131">
        <f t="shared" si="506"/>
        <v>97.600780487804883</v>
      </c>
    </row>
    <row r="2014" spans="1:8" s="82" customFormat="1" ht="18.75" hidden="1" x14ac:dyDescent="0.2">
      <c r="A2014" s="3" t="s">
        <v>548</v>
      </c>
      <c r="B2014" s="2" t="s">
        <v>1084</v>
      </c>
      <c r="C2014" s="2" t="s">
        <v>994</v>
      </c>
      <c r="D2014" s="4" t="s">
        <v>314</v>
      </c>
      <c r="E2014" s="2" t="s">
        <v>67</v>
      </c>
      <c r="F2014" s="10">
        <f>24-3.5</f>
        <v>20.5</v>
      </c>
      <c r="G2014" s="10">
        <v>20.00816</v>
      </c>
      <c r="H2014" s="97">
        <f t="shared" si="506"/>
        <v>97.600780487804883</v>
      </c>
    </row>
    <row r="2015" spans="1:8" ht="18.75" x14ac:dyDescent="0.2">
      <c r="A2015" s="157" t="s">
        <v>22</v>
      </c>
      <c r="B2015" s="141">
        <v>10</v>
      </c>
      <c r="C2015" s="141" t="s">
        <v>994</v>
      </c>
      <c r="D2015" s="146" t="s">
        <v>314</v>
      </c>
      <c r="E2015" s="159">
        <v>300</v>
      </c>
      <c r="F2015" s="147">
        <f t="shared" ref="F2015:G2016" si="512">F2016</f>
        <v>4747.7</v>
      </c>
      <c r="G2015" s="147">
        <f t="shared" si="512"/>
        <v>4704.1880000000001</v>
      </c>
      <c r="H2015" s="131">
        <f t="shared" si="506"/>
        <v>99.083514122627804</v>
      </c>
    </row>
    <row r="2016" spans="1:8" ht="18.75" x14ac:dyDescent="0.2">
      <c r="A2016" s="157" t="s">
        <v>36</v>
      </c>
      <c r="B2016" s="141">
        <v>10</v>
      </c>
      <c r="C2016" s="141" t="s">
        <v>994</v>
      </c>
      <c r="D2016" s="146" t="s">
        <v>314</v>
      </c>
      <c r="E2016" s="159">
        <v>310</v>
      </c>
      <c r="F2016" s="147">
        <f t="shared" si="512"/>
        <v>4747.7</v>
      </c>
      <c r="G2016" s="147">
        <f t="shared" si="512"/>
        <v>4704.1880000000001</v>
      </c>
      <c r="H2016" s="131">
        <f t="shared" si="506"/>
        <v>99.083514122627804</v>
      </c>
    </row>
    <row r="2017" spans="1:8" s="82" customFormat="1" ht="31.5" hidden="1" x14ac:dyDescent="0.2">
      <c r="A2017" s="28" t="s">
        <v>121</v>
      </c>
      <c r="B2017" s="2" t="s">
        <v>1084</v>
      </c>
      <c r="C2017" s="2" t="s">
        <v>994</v>
      </c>
      <c r="D2017" s="4" t="s">
        <v>314</v>
      </c>
      <c r="E2017" s="9">
        <v>313</v>
      </c>
      <c r="F2017" s="10">
        <f>4780-300+103+197-32.3</f>
        <v>4747.7</v>
      </c>
      <c r="G2017" s="10">
        <v>4704.1880000000001</v>
      </c>
      <c r="H2017" s="97">
        <f t="shared" si="506"/>
        <v>99.083514122627804</v>
      </c>
    </row>
    <row r="2018" spans="1:8" ht="18.75" x14ac:dyDescent="0.2">
      <c r="A2018" s="132" t="s">
        <v>316</v>
      </c>
      <c r="B2018" s="133" t="s">
        <v>1084</v>
      </c>
      <c r="C2018" s="133" t="s">
        <v>994</v>
      </c>
      <c r="D2018" s="139" t="s">
        <v>315</v>
      </c>
      <c r="E2018" s="161"/>
      <c r="F2018" s="134">
        <f>F2019+F2026+F2035+F2042+F2046+F2053+F2060</f>
        <v>19054</v>
      </c>
      <c r="G2018" s="134">
        <f t="shared" ref="G2018" si="513">G2019+G2026+G2035+G2042+G2046+G2053+G2060</f>
        <v>19014.356490000002</v>
      </c>
      <c r="H2018" s="131">
        <f t="shared" si="506"/>
        <v>99.79194127217383</v>
      </c>
    </row>
    <row r="2019" spans="1:8" ht="18.75" x14ac:dyDescent="0.2">
      <c r="A2019" s="155" t="s">
        <v>50</v>
      </c>
      <c r="B2019" s="148" t="s">
        <v>1084</v>
      </c>
      <c r="C2019" s="148" t="s">
        <v>994</v>
      </c>
      <c r="D2019" s="142" t="s">
        <v>317</v>
      </c>
      <c r="E2019" s="148"/>
      <c r="F2019" s="144">
        <f>F2020+F2023</f>
        <v>2650</v>
      </c>
      <c r="G2019" s="144">
        <f>G2020+G2023</f>
        <v>2639.8962499999998</v>
      </c>
      <c r="H2019" s="131">
        <f t="shared" si="506"/>
        <v>99.618726415094329</v>
      </c>
    </row>
    <row r="2020" spans="1:8" ht="18.75" x14ac:dyDescent="0.2">
      <c r="A2020" s="157" t="s">
        <v>871</v>
      </c>
      <c r="B2020" s="141" t="s">
        <v>1084</v>
      </c>
      <c r="C2020" s="141" t="s">
        <v>994</v>
      </c>
      <c r="D2020" s="146" t="s">
        <v>317</v>
      </c>
      <c r="E2020" s="159">
        <v>200</v>
      </c>
      <c r="F2020" s="147">
        <f t="shared" ref="F2020:G2021" si="514">F2021</f>
        <v>19</v>
      </c>
      <c r="G2020" s="147">
        <f t="shared" si="514"/>
        <v>9.8962500000000002</v>
      </c>
      <c r="H2020" s="131">
        <f t="shared" si="506"/>
        <v>52.08552631578948</v>
      </c>
    </row>
    <row r="2021" spans="1:8" ht="31.5" x14ac:dyDescent="0.2">
      <c r="A2021" s="157" t="s">
        <v>17</v>
      </c>
      <c r="B2021" s="141" t="s">
        <v>1084</v>
      </c>
      <c r="C2021" s="141" t="s">
        <v>994</v>
      </c>
      <c r="D2021" s="146" t="s">
        <v>317</v>
      </c>
      <c r="E2021" s="159">
        <v>240</v>
      </c>
      <c r="F2021" s="147">
        <f t="shared" si="514"/>
        <v>19</v>
      </c>
      <c r="G2021" s="147">
        <f t="shared" si="514"/>
        <v>9.8962500000000002</v>
      </c>
      <c r="H2021" s="131">
        <f t="shared" si="506"/>
        <v>52.08552631578948</v>
      </c>
    </row>
    <row r="2022" spans="1:8" s="82" customFormat="1" ht="18.75" hidden="1" x14ac:dyDescent="0.2">
      <c r="A2022" s="3" t="s">
        <v>548</v>
      </c>
      <c r="B2022" s="2" t="s">
        <v>1084</v>
      </c>
      <c r="C2022" s="2" t="s">
        <v>994</v>
      </c>
      <c r="D2022" s="4" t="s">
        <v>317</v>
      </c>
      <c r="E2022" s="9">
        <v>244</v>
      </c>
      <c r="F2022" s="10">
        <f>25-1-5</f>
        <v>19</v>
      </c>
      <c r="G2022" s="10">
        <v>9.8962500000000002</v>
      </c>
      <c r="H2022" s="97">
        <f t="shared" si="506"/>
        <v>52.08552631578948</v>
      </c>
    </row>
    <row r="2023" spans="1:8" ht="18.75" x14ac:dyDescent="0.2">
      <c r="A2023" s="157" t="s">
        <v>22</v>
      </c>
      <c r="B2023" s="141" t="s">
        <v>1084</v>
      </c>
      <c r="C2023" s="141" t="s">
        <v>994</v>
      </c>
      <c r="D2023" s="146" t="s">
        <v>317</v>
      </c>
      <c r="E2023" s="159">
        <v>300</v>
      </c>
      <c r="F2023" s="147">
        <f t="shared" ref="F2023:G2024" si="515">F2024</f>
        <v>2631</v>
      </c>
      <c r="G2023" s="147">
        <f t="shared" si="515"/>
        <v>2630</v>
      </c>
      <c r="H2023" s="131">
        <f t="shared" si="506"/>
        <v>99.961991638160399</v>
      </c>
    </row>
    <row r="2024" spans="1:8" ht="18.75" x14ac:dyDescent="0.2">
      <c r="A2024" s="157" t="s">
        <v>36</v>
      </c>
      <c r="B2024" s="141" t="s">
        <v>1084</v>
      </c>
      <c r="C2024" s="141" t="s">
        <v>994</v>
      </c>
      <c r="D2024" s="146" t="s">
        <v>317</v>
      </c>
      <c r="E2024" s="159">
        <v>310</v>
      </c>
      <c r="F2024" s="147">
        <f t="shared" si="515"/>
        <v>2631</v>
      </c>
      <c r="G2024" s="147">
        <f t="shared" si="515"/>
        <v>2630</v>
      </c>
      <c r="H2024" s="131">
        <f t="shared" si="506"/>
        <v>99.961991638160399</v>
      </c>
    </row>
    <row r="2025" spans="1:8" s="82" customFormat="1" ht="31.5" hidden="1" x14ac:dyDescent="0.2">
      <c r="A2025" s="28" t="s">
        <v>121</v>
      </c>
      <c r="B2025" s="2" t="s">
        <v>1084</v>
      </c>
      <c r="C2025" s="2" t="s">
        <v>994</v>
      </c>
      <c r="D2025" s="4" t="s">
        <v>317</v>
      </c>
      <c r="E2025" s="9">
        <v>313</v>
      </c>
      <c r="F2025" s="10">
        <f>5000-199-1000-800-300-70</f>
        <v>2631</v>
      </c>
      <c r="G2025" s="10">
        <v>2630</v>
      </c>
      <c r="H2025" s="97">
        <f t="shared" si="506"/>
        <v>99.961991638160399</v>
      </c>
    </row>
    <row r="2026" spans="1:8" ht="63" x14ac:dyDescent="0.2">
      <c r="A2026" s="155" t="s">
        <v>1088</v>
      </c>
      <c r="B2026" s="148" t="s">
        <v>1084</v>
      </c>
      <c r="C2026" s="148" t="s">
        <v>994</v>
      </c>
      <c r="D2026" s="142" t="s">
        <v>318</v>
      </c>
      <c r="E2026" s="148"/>
      <c r="F2026" s="144">
        <f>F2027+F2030</f>
        <v>2635</v>
      </c>
      <c r="G2026" s="144">
        <f>G2027+G2030</f>
        <v>2620.2811400000001</v>
      </c>
      <c r="H2026" s="131">
        <f t="shared" si="506"/>
        <v>99.441409487666036</v>
      </c>
    </row>
    <row r="2027" spans="1:8" ht="18.75" x14ac:dyDescent="0.2">
      <c r="A2027" s="157" t="s">
        <v>871</v>
      </c>
      <c r="B2027" s="141" t="s">
        <v>1084</v>
      </c>
      <c r="C2027" s="141" t="s">
        <v>994</v>
      </c>
      <c r="D2027" s="146" t="s">
        <v>318</v>
      </c>
      <c r="E2027" s="159">
        <v>200</v>
      </c>
      <c r="F2027" s="147">
        <f t="shared" ref="F2027:G2028" si="516">F2028</f>
        <v>15</v>
      </c>
      <c r="G2027" s="147">
        <f t="shared" si="516"/>
        <v>10.114470000000001</v>
      </c>
      <c r="H2027" s="131">
        <f t="shared" si="506"/>
        <v>67.4298</v>
      </c>
    </row>
    <row r="2028" spans="1:8" ht="31.5" x14ac:dyDescent="0.2">
      <c r="A2028" s="157" t="s">
        <v>17</v>
      </c>
      <c r="B2028" s="141" t="s">
        <v>1084</v>
      </c>
      <c r="C2028" s="141" t="s">
        <v>994</v>
      </c>
      <c r="D2028" s="146" t="s">
        <v>318</v>
      </c>
      <c r="E2028" s="159">
        <v>240</v>
      </c>
      <c r="F2028" s="147">
        <f t="shared" si="516"/>
        <v>15</v>
      </c>
      <c r="G2028" s="147">
        <f t="shared" si="516"/>
        <v>10.114470000000001</v>
      </c>
      <c r="H2028" s="131">
        <f t="shared" si="506"/>
        <v>67.4298</v>
      </c>
    </row>
    <row r="2029" spans="1:8" s="82" customFormat="1" ht="18.75" hidden="1" x14ac:dyDescent="0.2">
      <c r="A2029" s="3" t="s">
        <v>548</v>
      </c>
      <c r="B2029" s="2" t="s">
        <v>1084</v>
      </c>
      <c r="C2029" s="2" t="s">
        <v>994</v>
      </c>
      <c r="D2029" s="4" t="s">
        <v>318</v>
      </c>
      <c r="E2029" s="9">
        <v>244</v>
      </c>
      <c r="F2029" s="10">
        <f>115-100</f>
        <v>15</v>
      </c>
      <c r="G2029" s="10">
        <v>10.114470000000001</v>
      </c>
      <c r="H2029" s="97">
        <f t="shared" si="506"/>
        <v>67.4298</v>
      </c>
    </row>
    <row r="2030" spans="1:8" ht="18.75" x14ac:dyDescent="0.2">
      <c r="A2030" s="157" t="s">
        <v>22</v>
      </c>
      <c r="B2030" s="141" t="s">
        <v>1084</v>
      </c>
      <c r="C2030" s="141" t="s">
        <v>994</v>
      </c>
      <c r="D2030" s="146" t="s">
        <v>318</v>
      </c>
      <c r="E2030" s="159">
        <v>300</v>
      </c>
      <c r="F2030" s="147">
        <f>F2031+F2033</f>
        <v>2620</v>
      </c>
      <c r="G2030" s="147">
        <f>G2031+G2033</f>
        <v>2610.1666700000001</v>
      </c>
      <c r="H2030" s="131">
        <f t="shared" si="506"/>
        <v>99.624682061068697</v>
      </c>
    </row>
    <row r="2031" spans="1:8" ht="18.75" x14ac:dyDescent="0.2">
      <c r="A2031" s="157" t="s">
        <v>36</v>
      </c>
      <c r="B2031" s="141" t="s">
        <v>1084</v>
      </c>
      <c r="C2031" s="141" t="s">
        <v>994</v>
      </c>
      <c r="D2031" s="146" t="s">
        <v>318</v>
      </c>
      <c r="E2031" s="159">
        <v>310</v>
      </c>
      <c r="F2031" s="147">
        <f>F2032</f>
        <v>2575</v>
      </c>
      <c r="G2031" s="147">
        <f>G2032</f>
        <v>2565.1666700000001</v>
      </c>
      <c r="H2031" s="131">
        <f t="shared" si="506"/>
        <v>99.618123106796119</v>
      </c>
    </row>
    <row r="2032" spans="1:8" s="82" customFormat="1" ht="31.5" hidden="1" x14ac:dyDescent="0.2">
      <c r="A2032" s="28" t="s">
        <v>121</v>
      </c>
      <c r="B2032" s="2" t="s">
        <v>1084</v>
      </c>
      <c r="C2032" s="2" t="s">
        <v>994</v>
      </c>
      <c r="D2032" s="4" t="s">
        <v>318</v>
      </c>
      <c r="E2032" s="9">
        <v>313</v>
      </c>
      <c r="F2032" s="10">
        <f>2735-160</f>
        <v>2575</v>
      </c>
      <c r="G2032" s="10">
        <v>2565.1666700000001</v>
      </c>
      <c r="H2032" s="97">
        <f t="shared" si="506"/>
        <v>99.618123106796119</v>
      </c>
    </row>
    <row r="2033" spans="1:8" ht="31.5" x14ac:dyDescent="0.2">
      <c r="A2033" s="157" t="s">
        <v>108</v>
      </c>
      <c r="B2033" s="141" t="s">
        <v>1084</v>
      </c>
      <c r="C2033" s="141" t="s">
        <v>994</v>
      </c>
      <c r="D2033" s="146" t="s">
        <v>318</v>
      </c>
      <c r="E2033" s="159">
        <v>320</v>
      </c>
      <c r="F2033" s="147">
        <f>F2034</f>
        <v>45</v>
      </c>
      <c r="G2033" s="147">
        <f>G2034</f>
        <v>45</v>
      </c>
      <c r="H2033" s="131">
        <f t="shared" si="506"/>
        <v>100</v>
      </c>
    </row>
    <row r="2034" spans="1:8" s="82" customFormat="1" ht="31.5" hidden="1" x14ac:dyDescent="0.2">
      <c r="A2034" s="28" t="s">
        <v>116</v>
      </c>
      <c r="B2034" s="2" t="s">
        <v>1084</v>
      </c>
      <c r="C2034" s="2" t="s">
        <v>994</v>
      </c>
      <c r="D2034" s="4" t="s">
        <v>318</v>
      </c>
      <c r="E2034" s="9">
        <v>321</v>
      </c>
      <c r="F2034" s="10">
        <f>225-90-90</f>
        <v>45</v>
      </c>
      <c r="G2034" s="10">
        <v>45</v>
      </c>
      <c r="H2034" s="97">
        <f t="shared" si="506"/>
        <v>100</v>
      </c>
    </row>
    <row r="2035" spans="1:8" ht="47.25" x14ac:dyDescent="0.2">
      <c r="A2035" s="155" t="s">
        <v>60</v>
      </c>
      <c r="B2035" s="148" t="s">
        <v>1084</v>
      </c>
      <c r="C2035" s="148" t="s">
        <v>994</v>
      </c>
      <c r="D2035" s="142" t="s">
        <v>319</v>
      </c>
      <c r="E2035" s="148"/>
      <c r="F2035" s="144">
        <f>F2036+F2039</f>
        <v>112</v>
      </c>
      <c r="G2035" s="144">
        <f>G2036+G2039</f>
        <v>107.79295</v>
      </c>
      <c r="H2035" s="131">
        <f t="shared" si="506"/>
        <v>96.243705357142858</v>
      </c>
    </row>
    <row r="2036" spans="1:8" ht="18.75" x14ac:dyDescent="0.2">
      <c r="A2036" s="157" t="s">
        <v>871</v>
      </c>
      <c r="B2036" s="141" t="s">
        <v>1084</v>
      </c>
      <c r="C2036" s="141" t="s">
        <v>994</v>
      </c>
      <c r="D2036" s="146" t="s">
        <v>319</v>
      </c>
      <c r="E2036" s="159">
        <v>200</v>
      </c>
      <c r="F2036" s="147">
        <f t="shared" ref="F2036:G2037" si="517">F2037</f>
        <v>1</v>
      </c>
      <c r="G2036" s="147">
        <f t="shared" si="517"/>
        <v>0.53627999999999998</v>
      </c>
      <c r="H2036" s="131">
        <f t="shared" si="506"/>
        <v>53.628</v>
      </c>
    </row>
    <row r="2037" spans="1:8" ht="31.5" x14ac:dyDescent="0.2">
      <c r="A2037" s="157" t="s">
        <v>17</v>
      </c>
      <c r="B2037" s="141" t="s">
        <v>1084</v>
      </c>
      <c r="C2037" s="141" t="s">
        <v>994</v>
      </c>
      <c r="D2037" s="146" t="s">
        <v>319</v>
      </c>
      <c r="E2037" s="159">
        <v>240</v>
      </c>
      <c r="F2037" s="147">
        <f t="shared" si="517"/>
        <v>1</v>
      </c>
      <c r="G2037" s="147">
        <f t="shared" si="517"/>
        <v>0.53627999999999998</v>
      </c>
      <c r="H2037" s="131">
        <f t="shared" si="506"/>
        <v>53.628</v>
      </c>
    </row>
    <row r="2038" spans="1:8" s="82" customFormat="1" ht="18.75" hidden="1" x14ac:dyDescent="0.2">
      <c r="A2038" s="3" t="s">
        <v>548</v>
      </c>
      <c r="B2038" s="2" t="s">
        <v>1084</v>
      </c>
      <c r="C2038" s="2" t="s">
        <v>994</v>
      </c>
      <c r="D2038" s="4" t="s">
        <v>319</v>
      </c>
      <c r="E2038" s="9">
        <v>244</v>
      </c>
      <c r="F2038" s="10">
        <v>1</v>
      </c>
      <c r="G2038" s="10">
        <v>0.53627999999999998</v>
      </c>
      <c r="H2038" s="97">
        <f t="shared" si="506"/>
        <v>53.628</v>
      </c>
    </row>
    <row r="2039" spans="1:8" ht="18.75" x14ac:dyDescent="0.2">
      <c r="A2039" s="157" t="s">
        <v>22</v>
      </c>
      <c r="B2039" s="141" t="s">
        <v>1084</v>
      </c>
      <c r="C2039" s="141" t="s">
        <v>994</v>
      </c>
      <c r="D2039" s="146" t="s">
        <v>319</v>
      </c>
      <c r="E2039" s="159">
        <v>300</v>
      </c>
      <c r="F2039" s="147">
        <f t="shared" ref="F2039:G2040" si="518">F2040</f>
        <v>111</v>
      </c>
      <c r="G2039" s="147">
        <f t="shared" si="518"/>
        <v>107.25667</v>
      </c>
      <c r="H2039" s="131">
        <f t="shared" si="506"/>
        <v>96.627630630630634</v>
      </c>
    </row>
    <row r="2040" spans="1:8" ht="18.75" x14ac:dyDescent="0.2">
      <c r="A2040" s="157" t="s">
        <v>36</v>
      </c>
      <c r="B2040" s="141" t="s">
        <v>1084</v>
      </c>
      <c r="C2040" s="141" t="s">
        <v>994</v>
      </c>
      <c r="D2040" s="146" t="s">
        <v>319</v>
      </c>
      <c r="E2040" s="159">
        <v>310</v>
      </c>
      <c r="F2040" s="147">
        <f t="shared" si="518"/>
        <v>111</v>
      </c>
      <c r="G2040" s="147">
        <f t="shared" si="518"/>
        <v>107.25667</v>
      </c>
      <c r="H2040" s="131">
        <f t="shared" si="506"/>
        <v>96.627630630630634</v>
      </c>
    </row>
    <row r="2041" spans="1:8" s="82" customFormat="1" ht="18.75" hidden="1" x14ac:dyDescent="0.2">
      <c r="A2041" s="28" t="s">
        <v>106</v>
      </c>
      <c r="B2041" s="2" t="s">
        <v>1084</v>
      </c>
      <c r="C2041" s="2" t="s">
        <v>994</v>
      </c>
      <c r="D2041" s="4" t="s">
        <v>319</v>
      </c>
      <c r="E2041" s="9">
        <v>312</v>
      </c>
      <c r="F2041" s="10">
        <v>111</v>
      </c>
      <c r="G2041" s="10">
        <v>107.25667</v>
      </c>
      <c r="H2041" s="97">
        <f t="shared" si="506"/>
        <v>96.627630630630634</v>
      </c>
    </row>
    <row r="2042" spans="1:8" ht="47.25" x14ac:dyDescent="0.2">
      <c r="A2042" s="155" t="s">
        <v>434</v>
      </c>
      <c r="B2042" s="148" t="s">
        <v>1084</v>
      </c>
      <c r="C2042" s="148" t="s">
        <v>994</v>
      </c>
      <c r="D2042" s="142" t="s">
        <v>320</v>
      </c>
      <c r="E2042" s="177"/>
      <c r="F2042" s="144">
        <f t="shared" ref="F2042:G2044" si="519">F2043</f>
        <v>65</v>
      </c>
      <c r="G2042" s="144">
        <f t="shared" si="519"/>
        <v>56</v>
      </c>
      <c r="H2042" s="131">
        <f t="shared" si="506"/>
        <v>86.15384615384616</v>
      </c>
    </row>
    <row r="2043" spans="1:8" ht="18.75" x14ac:dyDescent="0.2">
      <c r="A2043" s="157" t="s">
        <v>22</v>
      </c>
      <c r="B2043" s="141" t="s">
        <v>1084</v>
      </c>
      <c r="C2043" s="141" t="s">
        <v>994</v>
      </c>
      <c r="D2043" s="146" t="s">
        <v>320</v>
      </c>
      <c r="E2043" s="159">
        <v>300</v>
      </c>
      <c r="F2043" s="147">
        <f t="shared" si="519"/>
        <v>65</v>
      </c>
      <c r="G2043" s="147">
        <f t="shared" si="519"/>
        <v>56</v>
      </c>
      <c r="H2043" s="131">
        <f t="shared" si="506"/>
        <v>86.15384615384616</v>
      </c>
    </row>
    <row r="2044" spans="1:8" ht="18.75" x14ac:dyDescent="0.2">
      <c r="A2044" s="157" t="s">
        <v>36</v>
      </c>
      <c r="B2044" s="141" t="s">
        <v>1084</v>
      </c>
      <c r="C2044" s="141" t="s">
        <v>994</v>
      </c>
      <c r="D2044" s="146" t="s">
        <v>320</v>
      </c>
      <c r="E2044" s="159">
        <v>310</v>
      </c>
      <c r="F2044" s="147">
        <f t="shared" si="519"/>
        <v>65</v>
      </c>
      <c r="G2044" s="147">
        <f t="shared" si="519"/>
        <v>56</v>
      </c>
      <c r="H2044" s="131">
        <f t="shared" si="506"/>
        <v>86.15384615384616</v>
      </c>
    </row>
    <row r="2045" spans="1:8" s="82" customFormat="1" ht="31.5" hidden="1" x14ac:dyDescent="0.2">
      <c r="A2045" s="28" t="s">
        <v>121</v>
      </c>
      <c r="B2045" s="2" t="s">
        <v>1084</v>
      </c>
      <c r="C2045" s="2" t="s">
        <v>994</v>
      </c>
      <c r="D2045" s="4" t="s">
        <v>320</v>
      </c>
      <c r="E2045" s="9">
        <v>313</v>
      </c>
      <c r="F2045" s="10">
        <f>37+20+8</f>
        <v>65</v>
      </c>
      <c r="G2045" s="10">
        <v>56</v>
      </c>
      <c r="H2045" s="97">
        <f t="shared" si="506"/>
        <v>86.15384615384616</v>
      </c>
    </row>
    <row r="2046" spans="1:8" ht="126" x14ac:dyDescent="0.2">
      <c r="A2046" s="155" t="s">
        <v>546</v>
      </c>
      <c r="B2046" s="148" t="s">
        <v>1084</v>
      </c>
      <c r="C2046" s="148" t="s">
        <v>994</v>
      </c>
      <c r="D2046" s="142" t="s">
        <v>321</v>
      </c>
      <c r="E2046" s="177"/>
      <c r="F2046" s="144">
        <f>F2047+F2050</f>
        <v>13220</v>
      </c>
      <c r="G2046" s="144">
        <f>G2047+G2050</f>
        <v>13219.7646</v>
      </c>
      <c r="H2046" s="131">
        <f t="shared" si="506"/>
        <v>99.998219364599095</v>
      </c>
    </row>
    <row r="2047" spans="1:8" ht="18.75" x14ac:dyDescent="0.2">
      <c r="A2047" s="157" t="s">
        <v>871</v>
      </c>
      <c r="B2047" s="141" t="s">
        <v>1084</v>
      </c>
      <c r="C2047" s="141" t="s">
        <v>994</v>
      </c>
      <c r="D2047" s="146" t="s">
        <v>321</v>
      </c>
      <c r="E2047" s="159">
        <v>200</v>
      </c>
      <c r="F2047" s="147">
        <f t="shared" ref="F2047:G2048" si="520">F2048</f>
        <v>109.5</v>
      </c>
      <c r="G2047" s="147">
        <f t="shared" si="520"/>
        <v>109.2646</v>
      </c>
      <c r="H2047" s="131">
        <f t="shared" si="506"/>
        <v>99.785022831050227</v>
      </c>
    </row>
    <row r="2048" spans="1:8" ht="31.5" x14ac:dyDescent="0.2">
      <c r="A2048" s="157" t="s">
        <v>17</v>
      </c>
      <c r="B2048" s="141" t="s">
        <v>1084</v>
      </c>
      <c r="C2048" s="141" t="s">
        <v>994</v>
      </c>
      <c r="D2048" s="146" t="s">
        <v>321</v>
      </c>
      <c r="E2048" s="159">
        <v>240</v>
      </c>
      <c r="F2048" s="147">
        <f t="shared" si="520"/>
        <v>109.5</v>
      </c>
      <c r="G2048" s="147">
        <f t="shared" si="520"/>
        <v>109.2646</v>
      </c>
      <c r="H2048" s="131">
        <f t="shared" si="506"/>
        <v>99.785022831050227</v>
      </c>
    </row>
    <row r="2049" spans="1:8" s="82" customFormat="1" ht="18.75" hidden="1" x14ac:dyDescent="0.2">
      <c r="A2049" s="3" t="s">
        <v>548</v>
      </c>
      <c r="B2049" s="2" t="s">
        <v>1084</v>
      </c>
      <c r="C2049" s="2" t="s">
        <v>994</v>
      </c>
      <c r="D2049" s="4" t="s">
        <v>321</v>
      </c>
      <c r="E2049" s="9">
        <v>244</v>
      </c>
      <c r="F2049" s="10">
        <f>225-114-1.5</f>
        <v>109.5</v>
      </c>
      <c r="G2049" s="10">
        <v>109.2646</v>
      </c>
      <c r="H2049" s="97">
        <f t="shared" si="506"/>
        <v>99.785022831050227</v>
      </c>
    </row>
    <row r="2050" spans="1:8" ht="18.75" x14ac:dyDescent="0.2">
      <c r="A2050" s="157" t="s">
        <v>22</v>
      </c>
      <c r="B2050" s="141" t="s">
        <v>1084</v>
      </c>
      <c r="C2050" s="141" t="s">
        <v>994</v>
      </c>
      <c r="D2050" s="146" t="s">
        <v>321</v>
      </c>
      <c r="E2050" s="159">
        <v>300</v>
      </c>
      <c r="F2050" s="147">
        <f>F2052</f>
        <v>13110.5</v>
      </c>
      <c r="G2050" s="147">
        <f>G2052</f>
        <v>13110.5</v>
      </c>
      <c r="H2050" s="131">
        <f t="shared" si="506"/>
        <v>100</v>
      </c>
    </row>
    <row r="2051" spans="1:8" ht="18.75" x14ac:dyDescent="0.2">
      <c r="A2051" s="157" t="s">
        <v>36</v>
      </c>
      <c r="B2051" s="141" t="s">
        <v>1084</v>
      </c>
      <c r="C2051" s="141" t="s">
        <v>994</v>
      </c>
      <c r="D2051" s="146" t="s">
        <v>321</v>
      </c>
      <c r="E2051" s="159">
        <v>310</v>
      </c>
      <c r="F2051" s="147">
        <f>F2052</f>
        <v>13110.5</v>
      </c>
      <c r="G2051" s="147">
        <f>G2052</f>
        <v>13110.5</v>
      </c>
      <c r="H2051" s="131">
        <f t="shared" si="506"/>
        <v>100</v>
      </c>
    </row>
    <row r="2052" spans="1:8" s="82" customFormat="1" ht="31.5" hidden="1" x14ac:dyDescent="0.2">
      <c r="A2052" s="28" t="s">
        <v>121</v>
      </c>
      <c r="B2052" s="2" t="s">
        <v>1084</v>
      </c>
      <c r="C2052" s="2" t="s">
        <v>994</v>
      </c>
      <c r="D2052" s="4" t="s">
        <v>321</v>
      </c>
      <c r="E2052" s="9">
        <v>313</v>
      </c>
      <c r="F2052" s="10">
        <f>14595-1446-38.5</f>
        <v>13110.5</v>
      </c>
      <c r="G2052" s="10">
        <v>13110.5</v>
      </c>
      <c r="H2052" s="97">
        <f t="shared" si="506"/>
        <v>100</v>
      </c>
    </row>
    <row r="2053" spans="1:8" ht="157.5" x14ac:dyDescent="0.2">
      <c r="A2053" s="155" t="s">
        <v>1089</v>
      </c>
      <c r="B2053" s="148" t="s">
        <v>1084</v>
      </c>
      <c r="C2053" s="148" t="s">
        <v>994</v>
      </c>
      <c r="D2053" s="142" t="s">
        <v>322</v>
      </c>
      <c r="E2053" s="177"/>
      <c r="F2053" s="144">
        <f>F2054+F2057</f>
        <v>227</v>
      </c>
      <c r="G2053" s="144">
        <f>G2054+G2057</f>
        <v>225.97874999999999</v>
      </c>
      <c r="H2053" s="131">
        <f t="shared" si="506"/>
        <v>99.550110132158594</v>
      </c>
    </row>
    <row r="2054" spans="1:8" ht="18.75" x14ac:dyDescent="0.2">
      <c r="A2054" s="157" t="s">
        <v>871</v>
      </c>
      <c r="B2054" s="141" t="s">
        <v>1084</v>
      </c>
      <c r="C2054" s="141" t="s">
        <v>994</v>
      </c>
      <c r="D2054" s="146" t="s">
        <v>322</v>
      </c>
      <c r="E2054" s="159">
        <v>200</v>
      </c>
      <c r="F2054" s="147">
        <f t="shared" ref="F2054:G2055" si="521">F2055</f>
        <v>2</v>
      </c>
      <c r="G2054" s="147">
        <f t="shared" si="521"/>
        <v>0.97875000000000001</v>
      </c>
      <c r="H2054" s="131">
        <f t="shared" si="506"/>
        <v>48.9375</v>
      </c>
    </row>
    <row r="2055" spans="1:8" ht="31.5" x14ac:dyDescent="0.2">
      <c r="A2055" s="157" t="s">
        <v>17</v>
      </c>
      <c r="B2055" s="141" t="s">
        <v>1084</v>
      </c>
      <c r="C2055" s="141" t="s">
        <v>994</v>
      </c>
      <c r="D2055" s="146" t="s">
        <v>322</v>
      </c>
      <c r="E2055" s="159">
        <v>240</v>
      </c>
      <c r="F2055" s="147">
        <f t="shared" si="521"/>
        <v>2</v>
      </c>
      <c r="G2055" s="147">
        <f t="shared" si="521"/>
        <v>0.97875000000000001</v>
      </c>
      <c r="H2055" s="131">
        <f t="shared" si="506"/>
        <v>48.9375</v>
      </c>
    </row>
    <row r="2056" spans="1:8" s="82" customFormat="1" ht="18.75" hidden="1" x14ac:dyDescent="0.2">
      <c r="A2056" s="3" t="s">
        <v>548</v>
      </c>
      <c r="B2056" s="2" t="s">
        <v>1084</v>
      </c>
      <c r="C2056" s="2" t="s">
        <v>994</v>
      </c>
      <c r="D2056" s="4" t="s">
        <v>322</v>
      </c>
      <c r="E2056" s="9">
        <v>244</v>
      </c>
      <c r="F2056" s="10">
        <f>4-2</f>
        <v>2</v>
      </c>
      <c r="G2056" s="10">
        <v>0.97875000000000001</v>
      </c>
      <c r="H2056" s="97">
        <f t="shared" si="506"/>
        <v>48.9375</v>
      </c>
    </row>
    <row r="2057" spans="1:8" ht="18.75" x14ac:dyDescent="0.2">
      <c r="A2057" s="157" t="s">
        <v>22</v>
      </c>
      <c r="B2057" s="141" t="s">
        <v>1084</v>
      </c>
      <c r="C2057" s="141" t="s">
        <v>994</v>
      </c>
      <c r="D2057" s="146" t="s">
        <v>322</v>
      </c>
      <c r="E2057" s="159">
        <v>300</v>
      </c>
      <c r="F2057" s="147">
        <f t="shared" ref="F2057:G2058" si="522">F2058</f>
        <v>225</v>
      </c>
      <c r="G2057" s="147">
        <f t="shared" si="522"/>
        <v>225</v>
      </c>
      <c r="H2057" s="131">
        <f t="shared" si="506"/>
        <v>100</v>
      </c>
    </row>
    <row r="2058" spans="1:8" ht="18.75" x14ac:dyDescent="0.2">
      <c r="A2058" s="157" t="s">
        <v>36</v>
      </c>
      <c r="B2058" s="141" t="s">
        <v>1084</v>
      </c>
      <c r="C2058" s="141" t="s">
        <v>994</v>
      </c>
      <c r="D2058" s="146" t="s">
        <v>322</v>
      </c>
      <c r="E2058" s="159">
        <v>310</v>
      </c>
      <c r="F2058" s="147">
        <f t="shared" si="522"/>
        <v>225</v>
      </c>
      <c r="G2058" s="147">
        <f t="shared" si="522"/>
        <v>225</v>
      </c>
      <c r="H2058" s="131">
        <f t="shared" si="506"/>
        <v>100</v>
      </c>
    </row>
    <row r="2059" spans="1:8" s="82" customFormat="1" ht="31.5" hidden="1" x14ac:dyDescent="0.2">
      <c r="A2059" s="28" t="s">
        <v>121</v>
      </c>
      <c r="B2059" s="2" t="s">
        <v>1084</v>
      </c>
      <c r="C2059" s="2" t="s">
        <v>994</v>
      </c>
      <c r="D2059" s="4" t="s">
        <v>322</v>
      </c>
      <c r="E2059" s="9">
        <v>313</v>
      </c>
      <c r="F2059" s="10">
        <f>630-340-6-59</f>
        <v>225</v>
      </c>
      <c r="G2059" s="10">
        <v>225</v>
      </c>
      <c r="H2059" s="97">
        <f t="shared" si="506"/>
        <v>100</v>
      </c>
    </row>
    <row r="2060" spans="1:8" ht="157.5" x14ac:dyDescent="0.2">
      <c r="A2060" s="155" t="s">
        <v>547</v>
      </c>
      <c r="B2060" s="141" t="s">
        <v>1084</v>
      </c>
      <c r="C2060" s="141" t="s">
        <v>994</v>
      </c>
      <c r="D2060" s="146" t="s">
        <v>509</v>
      </c>
      <c r="E2060" s="159"/>
      <c r="F2060" s="144">
        <f>F2061+F2064</f>
        <v>145</v>
      </c>
      <c r="G2060" s="144">
        <f>G2061+G2064</f>
        <v>144.64279999999999</v>
      </c>
      <c r="H2060" s="131">
        <f t="shared" si="506"/>
        <v>99.753655172413787</v>
      </c>
    </row>
    <row r="2061" spans="1:8" ht="18.75" x14ac:dyDescent="0.2">
      <c r="A2061" s="157" t="s">
        <v>871</v>
      </c>
      <c r="B2061" s="141" t="s">
        <v>1084</v>
      </c>
      <c r="C2061" s="141" t="s">
        <v>994</v>
      </c>
      <c r="D2061" s="146" t="s">
        <v>509</v>
      </c>
      <c r="E2061" s="159">
        <v>200</v>
      </c>
      <c r="F2061" s="147">
        <f t="shared" ref="F2061:G2062" si="523">F2062</f>
        <v>1</v>
      </c>
      <c r="G2061" s="147">
        <f t="shared" si="523"/>
        <v>0.64280000000000004</v>
      </c>
      <c r="H2061" s="131">
        <f t="shared" si="506"/>
        <v>64.28</v>
      </c>
    </row>
    <row r="2062" spans="1:8" ht="31.5" x14ac:dyDescent="0.2">
      <c r="A2062" s="157" t="s">
        <v>17</v>
      </c>
      <c r="B2062" s="141" t="s">
        <v>1084</v>
      </c>
      <c r="C2062" s="141" t="s">
        <v>994</v>
      </c>
      <c r="D2062" s="146" t="s">
        <v>509</v>
      </c>
      <c r="E2062" s="159">
        <v>240</v>
      </c>
      <c r="F2062" s="147">
        <f t="shared" si="523"/>
        <v>1</v>
      </c>
      <c r="G2062" s="147">
        <f t="shared" si="523"/>
        <v>0.64280000000000004</v>
      </c>
      <c r="H2062" s="131">
        <f t="shared" si="506"/>
        <v>64.28</v>
      </c>
    </row>
    <row r="2063" spans="1:8" s="82" customFormat="1" ht="18.75" hidden="1" x14ac:dyDescent="0.2">
      <c r="A2063" s="3" t="s">
        <v>548</v>
      </c>
      <c r="B2063" s="2" t="s">
        <v>1084</v>
      </c>
      <c r="C2063" s="2" t="s">
        <v>994</v>
      </c>
      <c r="D2063" s="4" t="s">
        <v>509</v>
      </c>
      <c r="E2063" s="9">
        <v>244</v>
      </c>
      <c r="F2063" s="10">
        <f>1+1-1</f>
        <v>1</v>
      </c>
      <c r="G2063" s="10">
        <v>0.64280000000000004</v>
      </c>
      <c r="H2063" s="97">
        <f t="shared" si="506"/>
        <v>64.28</v>
      </c>
    </row>
    <row r="2064" spans="1:8" ht="18.75" x14ac:dyDescent="0.2">
      <c r="A2064" s="157" t="s">
        <v>22</v>
      </c>
      <c r="B2064" s="141" t="s">
        <v>1084</v>
      </c>
      <c r="C2064" s="141" t="s">
        <v>994</v>
      </c>
      <c r="D2064" s="146" t="s">
        <v>509</v>
      </c>
      <c r="E2064" s="159">
        <v>300</v>
      </c>
      <c r="F2064" s="147">
        <f t="shared" ref="F2064:G2065" si="524">F2065</f>
        <v>144</v>
      </c>
      <c r="G2064" s="147">
        <f t="shared" si="524"/>
        <v>144</v>
      </c>
      <c r="H2064" s="131">
        <f t="shared" si="506"/>
        <v>100</v>
      </c>
    </row>
    <row r="2065" spans="1:8" ht="18.75" x14ac:dyDescent="0.2">
      <c r="A2065" s="157" t="s">
        <v>36</v>
      </c>
      <c r="B2065" s="141" t="s">
        <v>1084</v>
      </c>
      <c r="C2065" s="141" t="s">
        <v>994</v>
      </c>
      <c r="D2065" s="146" t="s">
        <v>509</v>
      </c>
      <c r="E2065" s="159">
        <v>310</v>
      </c>
      <c r="F2065" s="147">
        <f t="shared" si="524"/>
        <v>144</v>
      </c>
      <c r="G2065" s="147">
        <f t="shared" si="524"/>
        <v>144</v>
      </c>
      <c r="H2065" s="131">
        <f t="shared" ref="H2065:H2115" si="525">G2065/F2065*100</f>
        <v>100</v>
      </c>
    </row>
    <row r="2066" spans="1:8" s="82" customFormat="1" ht="31.5" hidden="1" x14ac:dyDescent="0.2">
      <c r="A2066" s="28" t="s">
        <v>121</v>
      </c>
      <c r="B2066" s="2" t="s">
        <v>1084</v>
      </c>
      <c r="C2066" s="2" t="s">
        <v>994</v>
      </c>
      <c r="D2066" s="4" t="s">
        <v>509</v>
      </c>
      <c r="E2066" s="9">
        <v>313</v>
      </c>
      <c r="F2066" s="10">
        <f>132+160-70-55-23</f>
        <v>144</v>
      </c>
      <c r="G2066" s="10">
        <v>144</v>
      </c>
      <c r="H2066" s="97">
        <f t="shared" si="525"/>
        <v>100</v>
      </c>
    </row>
    <row r="2067" spans="1:8" ht="31.5" x14ac:dyDescent="0.2">
      <c r="A2067" s="132" t="s">
        <v>323</v>
      </c>
      <c r="B2067" s="133" t="s">
        <v>1084</v>
      </c>
      <c r="C2067" s="133" t="s">
        <v>994</v>
      </c>
      <c r="D2067" s="139" t="s">
        <v>324</v>
      </c>
      <c r="E2067" s="161"/>
      <c r="F2067" s="134">
        <f t="shared" ref="F2067:G2069" si="526">F2068</f>
        <v>10324</v>
      </c>
      <c r="G2067" s="134">
        <f t="shared" si="526"/>
        <v>10322.061810000001</v>
      </c>
      <c r="H2067" s="131">
        <f t="shared" si="525"/>
        <v>99.98122636574972</v>
      </c>
    </row>
    <row r="2068" spans="1:8" ht="31.5" x14ac:dyDescent="0.2">
      <c r="A2068" s="155" t="s">
        <v>42</v>
      </c>
      <c r="B2068" s="148" t="s">
        <v>1084</v>
      </c>
      <c r="C2068" s="148" t="s">
        <v>994</v>
      </c>
      <c r="D2068" s="142" t="s">
        <v>335</v>
      </c>
      <c r="E2068" s="177"/>
      <c r="F2068" s="144">
        <f t="shared" si="526"/>
        <v>10324</v>
      </c>
      <c r="G2068" s="144">
        <f t="shared" si="526"/>
        <v>10322.061810000001</v>
      </c>
      <c r="H2068" s="131">
        <f t="shared" si="525"/>
        <v>99.98122636574972</v>
      </c>
    </row>
    <row r="2069" spans="1:8" ht="31.5" x14ac:dyDescent="0.2">
      <c r="A2069" s="157" t="s">
        <v>18</v>
      </c>
      <c r="B2069" s="141" t="s">
        <v>1084</v>
      </c>
      <c r="C2069" s="141" t="s">
        <v>994</v>
      </c>
      <c r="D2069" s="146" t="s">
        <v>335</v>
      </c>
      <c r="E2069" s="159">
        <v>600</v>
      </c>
      <c r="F2069" s="147">
        <f t="shared" si="526"/>
        <v>10324</v>
      </c>
      <c r="G2069" s="147">
        <f t="shared" si="526"/>
        <v>10322.061810000001</v>
      </c>
      <c r="H2069" s="131">
        <f t="shared" si="525"/>
        <v>99.98122636574972</v>
      </c>
    </row>
    <row r="2070" spans="1:8" ht="31.5" x14ac:dyDescent="0.2">
      <c r="A2070" s="157" t="s">
        <v>26</v>
      </c>
      <c r="B2070" s="141" t="s">
        <v>1084</v>
      </c>
      <c r="C2070" s="141" t="s">
        <v>994</v>
      </c>
      <c r="D2070" s="146" t="s">
        <v>335</v>
      </c>
      <c r="E2070" s="159">
        <v>630</v>
      </c>
      <c r="F2070" s="147">
        <f>F2071+F2072</f>
        <v>10324</v>
      </c>
      <c r="G2070" s="147">
        <f t="shared" ref="G2070" si="527">G2071+G2072</f>
        <v>10322.061810000001</v>
      </c>
      <c r="H2070" s="131">
        <f t="shared" si="525"/>
        <v>99.98122636574972</v>
      </c>
    </row>
    <row r="2071" spans="1:8" s="82" customFormat="1" ht="47.25" hidden="1" x14ac:dyDescent="0.2">
      <c r="A2071" s="23" t="s">
        <v>873</v>
      </c>
      <c r="B2071" s="2" t="s">
        <v>1084</v>
      </c>
      <c r="C2071" s="2" t="s">
        <v>994</v>
      </c>
      <c r="D2071" s="4" t="s">
        <v>335</v>
      </c>
      <c r="E2071" s="33" t="s">
        <v>471</v>
      </c>
      <c r="F2071" s="42">
        <f>0+464-300-40</f>
        <v>124</v>
      </c>
      <c r="G2071" s="10">
        <v>122.06197</v>
      </c>
      <c r="H2071" s="97">
        <f t="shared" si="525"/>
        <v>98.437072580645165</v>
      </c>
    </row>
    <row r="2072" spans="1:8" s="82" customFormat="1" ht="31.5" hidden="1" x14ac:dyDescent="0.2">
      <c r="A2072" s="3" t="s">
        <v>875</v>
      </c>
      <c r="B2072" s="2" t="s">
        <v>1084</v>
      </c>
      <c r="C2072" s="2" t="s">
        <v>994</v>
      </c>
      <c r="D2072" s="4" t="s">
        <v>335</v>
      </c>
      <c r="E2072" s="9">
        <v>632</v>
      </c>
      <c r="F2072" s="42">
        <f>4500-300-300+3665+2799-464+300</f>
        <v>10200</v>
      </c>
      <c r="G2072" s="10">
        <v>10199.99984</v>
      </c>
      <c r="H2072" s="97">
        <f t="shared" si="525"/>
        <v>99.999998431372546</v>
      </c>
    </row>
    <row r="2073" spans="1:8" ht="31.5" x14ac:dyDescent="0.2">
      <c r="A2073" s="132" t="s">
        <v>326</v>
      </c>
      <c r="B2073" s="133" t="s">
        <v>1084</v>
      </c>
      <c r="C2073" s="133" t="s">
        <v>994</v>
      </c>
      <c r="D2073" s="139" t="s">
        <v>325</v>
      </c>
      <c r="E2073" s="161"/>
      <c r="F2073" s="134">
        <f>F2074</f>
        <v>33273</v>
      </c>
      <c r="G2073" s="134">
        <f>G2074</f>
        <v>30021.400300000001</v>
      </c>
      <c r="H2073" s="131">
        <f t="shared" si="525"/>
        <v>90.227512697983357</v>
      </c>
    </row>
    <row r="2074" spans="1:8" ht="31.5" x14ac:dyDescent="0.2">
      <c r="A2074" s="155" t="s">
        <v>4</v>
      </c>
      <c r="B2074" s="148" t="s">
        <v>1084</v>
      </c>
      <c r="C2074" s="148" t="s">
        <v>994</v>
      </c>
      <c r="D2074" s="142" t="s">
        <v>327</v>
      </c>
      <c r="E2074" s="148"/>
      <c r="F2074" s="144">
        <f>F2075+F2078</f>
        <v>33273</v>
      </c>
      <c r="G2074" s="144">
        <f>G2075+G2078</f>
        <v>30021.400300000001</v>
      </c>
      <c r="H2074" s="131">
        <f t="shared" si="525"/>
        <v>90.227512697983357</v>
      </c>
    </row>
    <row r="2075" spans="1:8" ht="18.75" x14ac:dyDescent="0.2">
      <c r="A2075" s="157" t="s">
        <v>871</v>
      </c>
      <c r="B2075" s="141" t="s">
        <v>1084</v>
      </c>
      <c r="C2075" s="141" t="s">
        <v>994</v>
      </c>
      <c r="D2075" s="146" t="s">
        <v>327</v>
      </c>
      <c r="E2075" s="141" t="s">
        <v>15</v>
      </c>
      <c r="F2075" s="147">
        <f t="shared" ref="F2075:G2076" si="528">F2076</f>
        <v>172</v>
      </c>
      <c r="G2075" s="147">
        <f t="shared" si="528"/>
        <v>143.65450000000001</v>
      </c>
      <c r="H2075" s="131">
        <f t="shared" si="525"/>
        <v>83.520058139534896</v>
      </c>
    </row>
    <row r="2076" spans="1:8" ht="31.5" x14ac:dyDescent="0.2">
      <c r="A2076" s="157" t="s">
        <v>17</v>
      </c>
      <c r="B2076" s="141" t="s">
        <v>1084</v>
      </c>
      <c r="C2076" s="141" t="s">
        <v>994</v>
      </c>
      <c r="D2076" s="146" t="s">
        <v>327</v>
      </c>
      <c r="E2076" s="141" t="s">
        <v>16</v>
      </c>
      <c r="F2076" s="147">
        <f t="shared" si="528"/>
        <v>172</v>
      </c>
      <c r="G2076" s="147">
        <f t="shared" si="528"/>
        <v>143.65450000000001</v>
      </c>
      <c r="H2076" s="131">
        <f t="shared" si="525"/>
        <v>83.520058139534896</v>
      </c>
    </row>
    <row r="2077" spans="1:8" s="82" customFormat="1" ht="18.75" hidden="1" x14ac:dyDescent="0.2">
      <c r="A2077" s="3" t="s">
        <v>548</v>
      </c>
      <c r="B2077" s="2" t="s">
        <v>1084</v>
      </c>
      <c r="C2077" s="2" t="s">
        <v>994</v>
      </c>
      <c r="D2077" s="4" t="s">
        <v>327</v>
      </c>
      <c r="E2077" s="2" t="s">
        <v>67</v>
      </c>
      <c r="F2077" s="10">
        <f>195-23</f>
        <v>172</v>
      </c>
      <c r="G2077" s="10">
        <v>143.65450000000001</v>
      </c>
      <c r="H2077" s="97">
        <f t="shared" si="525"/>
        <v>83.520058139534896</v>
      </c>
    </row>
    <row r="2078" spans="1:8" ht="18.75" x14ac:dyDescent="0.2">
      <c r="A2078" s="157" t="s">
        <v>22</v>
      </c>
      <c r="B2078" s="141" t="s">
        <v>1084</v>
      </c>
      <c r="C2078" s="141" t="s">
        <v>994</v>
      </c>
      <c r="D2078" s="146" t="s">
        <v>327</v>
      </c>
      <c r="E2078" s="141" t="s">
        <v>23</v>
      </c>
      <c r="F2078" s="147">
        <f t="shared" ref="F2078:G2079" si="529">F2079</f>
        <v>33101</v>
      </c>
      <c r="G2078" s="147">
        <f t="shared" si="529"/>
        <v>29877.745800000001</v>
      </c>
      <c r="H2078" s="131">
        <f t="shared" si="525"/>
        <v>90.262366091658862</v>
      </c>
    </row>
    <row r="2079" spans="1:8" ht="18.75" x14ac:dyDescent="0.2">
      <c r="A2079" s="157" t="s">
        <v>36</v>
      </c>
      <c r="B2079" s="141" t="s">
        <v>1084</v>
      </c>
      <c r="C2079" s="141" t="s">
        <v>994</v>
      </c>
      <c r="D2079" s="146" t="s">
        <v>327</v>
      </c>
      <c r="E2079" s="141" t="s">
        <v>7</v>
      </c>
      <c r="F2079" s="147">
        <f t="shared" si="529"/>
        <v>33101</v>
      </c>
      <c r="G2079" s="147">
        <f t="shared" si="529"/>
        <v>29877.745800000001</v>
      </c>
      <c r="H2079" s="131">
        <f t="shared" si="525"/>
        <v>90.262366091658862</v>
      </c>
    </row>
    <row r="2080" spans="1:8" s="82" customFormat="1" ht="31.5" hidden="1" x14ac:dyDescent="0.2">
      <c r="A2080" s="28" t="s">
        <v>121</v>
      </c>
      <c r="B2080" s="2" t="s">
        <v>1084</v>
      </c>
      <c r="C2080" s="2" t="s">
        <v>994</v>
      </c>
      <c r="D2080" s="4" t="s">
        <v>327</v>
      </c>
      <c r="E2080" s="2" t="s">
        <v>109</v>
      </c>
      <c r="F2080" s="10">
        <f>37578-4477</f>
        <v>33101</v>
      </c>
      <c r="G2080" s="10">
        <v>29877.745800000001</v>
      </c>
      <c r="H2080" s="97">
        <f t="shared" si="525"/>
        <v>90.262366091658862</v>
      </c>
    </row>
    <row r="2081" spans="1:8" ht="18.75" x14ac:dyDescent="0.2">
      <c r="A2081" s="132" t="s">
        <v>1011</v>
      </c>
      <c r="B2081" s="211" t="s">
        <v>1084</v>
      </c>
      <c r="C2081" s="211" t="s">
        <v>994</v>
      </c>
      <c r="D2081" s="161" t="s">
        <v>161</v>
      </c>
      <c r="E2081" s="170"/>
      <c r="F2081" s="164">
        <f>F2082</f>
        <v>500</v>
      </c>
      <c r="G2081" s="164">
        <f t="shared" ref="G2081:G2085" si="530">G2082</f>
        <v>500</v>
      </c>
      <c r="H2081" s="131">
        <f t="shared" si="525"/>
        <v>100</v>
      </c>
    </row>
    <row r="2082" spans="1:8" ht="18.75" x14ac:dyDescent="0.2">
      <c r="A2082" s="145" t="s">
        <v>454</v>
      </c>
      <c r="B2082" s="151" t="s">
        <v>1084</v>
      </c>
      <c r="C2082" s="302" t="s">
        <v>994</v>
      </c>
      <c r="D2082" s="141" t="s">
        <v>176</v>
      </c>
      <c r="E2082" s="143"/>
      <c r="F2082" s="166">
        <f>F2083</f>
        <v>500</v>
      </c>
      <c r="G2082" s="166">
        <f t="shared" si="530"/>
        <v>500</v>
      </c>
      <c r="H2082" s="131">
        <f t="shared" si="525"/>
        <v>100</v>
      </c>
    </row>
    <row r="2083" spans="1:8" ht="18.75" x14ac:dyDescent="0.2">
      <c r="A2083" s="145" t="s">
        <v>594</v>
      </c>
      <c r="B2083" s="151" t="s">
        <v>1084</v>
      </c>
      <c r="C2083" s="302" t="s">
        <v>994</v>
      </c>
      <c r="D2083" s="141" t="s">
        <v>452</v>
      </c>
      <c r="E2083" s="143"/>
      <c r="F2083" s="166">
        <f>F2084</f>
        <v>500</v>
      </c>
      <c r="G2083" s="166">
        <f t="shared" si="530"/>
        <v>500</v>
      </c>
      <c r="H2083" s="131">
        <f t="shared" si="525"/>
        <v>100</v>
      </c>
    </row>
    <row r="2084" spans="1:8" ht="18.75" x14ac:dyDescent="0.2">
      <c r="A2084" s="145" t="s">
        <v>22</v>
      </c>
      <c r="B2084" s="151" t="s">
        <v>1084</v>
      </c>
      <c r="C2084" s="302" t="s">
        <v>994</v>
      </c>
      <c r="D2084" s="141" t="s">
        <v>452</v>
      </c>
      <c r="E2084" s="141" t="s">
        <v>23</v>
      </c>
      <c r="F2084" s="166">
        <f>F2085</f>
        <v>500</v>
      </c>
      <c r="G2084" s="166">
        <f t="shared" si="530"/>
        <v>500</v>
      </c>
      <c r="H2084" s="131">
        <f t="shared" si="525"/>
        <v>100</v>
      </c>
    </row>
    <row r="2085" spans="1:8" ht="31.5" x14ac:dyDescent="0.2">
      <c r="A2085" s="145" t="s">
        <v>108</v>
      </c>
      <c r="B2085" s="151" t="s">
        <v>1084</v>
      </c>
      <c r="C2085" s="302" t="s">
        <v>994</v>
      </c>
      <c r="D2085" s="141" t="s">
        <v>452</v>
      </c>
      <c r="E2085" s="141" t="s">
        <v>126</v>
      </c>
      <c r="F2085" s="166">
        <f>F2086</f>
        <v>500</v>
      </c>
      <c r="G2085" s="166">
        <f t="shared" si="530"/>
        <v>500</v>
      </c>
      <c r="H2085" s="131">
        <f t="shared" si="525"/>
        <v>100</v>
      </c>
    </row>
    <row r="2086" spans="1:8" s="82" customFormat="1" ht="31.5" hidden="1" x14ac:dyDescent="0.2">
      <c r="A2086" s="3" t="s">
        <v>941</v>
      </c>
      <c r="B2086" s="5" t="s">
        <v>1084</v>
      </c>
      <c r="C2086" s="75" t="s">
        <v>994</v>
      </c>
      <c r="D2086" s="2" t="s">
        <v>452</v>
      </c>
      <c r="E2086" s="2" t="s">
        <v>127</v>
      </c>
      <c r="F2086" s="36">
        <f>150+200+50+100</f>
        <v>500</v>
      </c>
      <c r="G2086" s="10">
        <v>500</v>
      </c>
      <c r="H2086" s="97">
        <f t="shared" si="525"/>
        <v>100</v>
      </c>
    </row>
    <row r="2087" spans="1:8" ht="18.75" x14ac:dyDescent="0.2">
      <c r="A2087" s="132" t="s">
        <v>1090</v>
      </c>
      <c r="B2087" s="133">
        <v>10</v>
      </c>
      <c r="C2087" s="133" t="s">
        <v>999</v>
      </c>
      <c r="D2087" s="161"/>
      <c r="E2087" s="303"/>
      <c r="F2087" s="134">
        <f>F2088+F2131+F2114+F2108+F2144</f>
        <v>153046.6</v>
      </c>
      <c r="G2087" s="134">
        <f>G2088+G2131+G2114+G2108+G2144</f>
        <v>152126.47359999997</v>
      </c>
      <c r="H2087" s="131">
        <f t="shared" si="525"/>
        <v>99.398793308704654</v>
      </c>
    </row>
    <row r="2088" spans="1:8" ht="18.75" x14ac:dyDescent="0.2">
      <c r="A2088" s="132" t="s">
        <v>1000</v>
      </c>
      <c r="B2088" s="133">
        <v>10</v>
      </c>
      <c r="C2088" s="133" t="s">
        <v>999</v>
      </c>
      <c r="D2088" s="133" t="s">
        <v>214</v>
      </c>
      <c r="E2088" s="133"/>
      <c r="F2088" s="134">
        <f>F2089+F2098</f>
        <v>90953</v>
      </c>
      <c r="G2088" s="134">
        <f t="shared" ref="G2088" si="531">G2089+G2098</f>
        <v>90038.909159999996</v>
      </c>
      <c r="H2088" s="131">
        <f t="shared" si="525"/>
        <v>98.994985498004468</v>
      </c>
    </row>
    <row r="2089" spans="1:8" ht="18.75" x14ac:dyDescent="0.2">
      <c r="A2089" s="135" t="s">
        <v>6</v>
      </c>
      <c r="B2089" s="136">
        <v>10</v>
      </c>
      <c r="C2089" s="136" t="s">
        <v>999</v>
      </c>
      <c r="D2089" s="137" t="s">
        <v>215</v>
      </c>
      <c r="E2089" s="136"/>
      <c r="F2089" s="138">
        <f>F2090</f>
        <v>90951</v>
      </c>
      <c r="G2089" s="138">
        <f t="shared" ref="G2089" si="532">G2090</f>
        <v>90037.459159999999</v>
      </c>
      <c r="H2089" s="131">
        <f t="shared" si="525"/>
        <v>98.995568119097101</v>
      </c>
    </row>
    <row r="2090" spans="1:8" ht="47.25" x14ac:dyDescent="0.2">
      <c r="A2090" s="132" t="s">
        <v>658</v>
      </c>
      <c r="B2090" s="133" t="s">
        <v>1084</v>
      </c>
      <c r="C2090" s="133" t="s">
        <v>999</v>
      </c>
      <c r="D2090" s="139" t="s">
        <v>218</v>
      </c>
      <c r="E2090" s="304"/>
      <c r="F2090" s="134">
        <f>F2091</f>
        <v>90951</v>
      </c>
      <c r="G2090" s="134">
        <f>G2091</f>
        <v>90037.459159999999</v>
      </c>
      <c r="H2090" s="131">
        <f t="shared" si="525"/>
        <v>98.995568119097101</v>
      </c>
    </row>
    <row r="2091" spans="1:8" ht="63" x14ac:dyDescent="0.2">
      <c r="A2091" s="140" t="s">
        <v>120</v>
      </c>
      <c r="B2091" s="148" t="s">
        <v>1084</v>
      </c>
      <c r="C2091" s="148" t="s">
        <v>999</v>
      </c>
      <c r="D2091" s="142" t="s">
        <v>222</v>
      </c>
      <c r="E2091" s="305"/>
      <c r="F2091" s="144">
        <f>F2092+F2095</f>
        <v>90951</v>
      </c>
      <c r="G2091" s="144">
        <f>G2092+G2095</f>
        <v>90037.459159999999</v>
      </c>
      <c r="H2091" s="131">
        <f t="shared" si="525"/>
        <v>98.995568119097101</v>
      </c>
    </row>
    <row r="2092" spans="1:8" ht="18.75" x14ac:dyDescent="0.2">
      <c r="A2092" s="150" t="s">
        <v>871</v>
      </c>
      <c r="B2092" s="141" t="s">
        <v>1084</v>
      </c>
      <c r="C2092" s="141" t="s">
        <v>999</v>
      </c>
      <c r="D2092" s="146" t="s">
        <v>222</v>
      </c>
      <c r="E2092" s="306" t="s">
        <v>15</v>
      </c>
      <c r="F2092" s="269">
        <f t="shared" ref="F2092:G2093" si="533">F2093</f>
        <v>901</v>
      </c>
      <c r="G2092" s="158">
        <f t="shared" si="533"/>
        <v>787.77218000000005</v>
      </c>
      <c r="H2092" s="131">
        <f t="shared" si="525"/>
        <v>87.433094339622656</v>
      </c>
    </row>
    <row r="2093" spans="1:8" ht="31.5" x14ac:dyDescent="0.2">
      <c r="A2093" s="150" t="s">
        <v>17</v>
      </c>
      <c r="B2093" s="141" t="s">
        <v>1084</v>
      </c>
      <c r="C2093" s="141" t="s">
        <v>999</v>
      </c>
      <c r="D2093" s="146" t="s">
        <v>222</v>
      </c>
      <c r="E2093" s="306" t="s">
        <v>16</v>
      </c>
      <c r="F2093" s="269">
        <f>F2094</f>
        <v>901</v>
      </c>
      <c r="G2093" s="158">
        <f t="shared" si="533"/>
        <v>787.77218000000005</v>
      </c>
      <c r="H2093" s="131">
        <f t="shared" si="525"/>
        <v>87.433094339622656</v>
      </c>
    </row>
    <row r="2094" spans="1:8" s="82" customFormat="1" ht="18.75" hidden="1" x14ac:dyDescent="0.2">
      <c r="A2094" s="3" t="s">
        <v>548</v>
      </c>
      <c r="B2094" s="2" t="s">
        <v>1084</v>
      </c>
      <c r="C2094" s="2" t="s">
        <v>999</v>
      </c>
      <c r="D2094" s="4" t="s">
        <v>222</v>
      </c>
      <c r="E2094" s="77" t="s">
        <v>67</v>
      </c>
      <c r="F2094" s="6">
        <f>1001-100</f>
        <v>901</v>
      </c>
      <c r="G2094" s="14">
        <v>787.77218000000005</v>
      </c>
      <c r="H2094" s="97">
        <f t="shared" si="525"/>
        <v>87.433094339622656</v>
      </c>
    </row>
    <row r="2095" spans="1:8" ht="18.75" x14ac:dyDescent="0.2">
      <c r="A2095" s="145" t="s">
        <v>22</v>
      </c>
      <c r="B2095" s="141" t="s">
        <v>1084</v>
      </c>
      <c r="C2095" s="141" t="s">
        <v>999</v>
      </c>
      <c r="D2095" s="146" t="s">
        <v>222</v>
      </c>
      <c r="E2095" s="307">
        <v>300</v>
      </c>
      <c r="F2095" s="147">
        <f t="shared" ref="F2095:G2096" si="534">F2096</f>
        <v>90050</v>
      </c>
      <c r="G2095" s="147">
        <f t="shared" si="534"/>
        <v>89249.686979999999</v>
      </c>
      <c r="H2095" s="131">
        <f t="shared" si="525"/>
        <v>99.111257057190443</v>
      </c>
    </row>
    <row r="2096" spans="1:8" ht="18.75" x14ac:dyDescent="0.2">
      <c r="A2096" s="150" t="s">
        <v>36</v>
      </c>
      <c r="B2096" s="141" t="s">
        <v>1084</v>
      </c>
      <c r="C2096" s="141" t="s">
        <v>999</v>
      </c>
      <c r="D2096" s="146" t="s">
        <v>222</v>
      </c>
      <c r="E2096" s="307">
        <v>310</v>
      </c>
      <c r="F2096" s="147">
        <f t="shared" si="534"/>
        <v>90050</v>
      </c>
      <c r="G2096" s="147">
        <f t="shared" si="534"/>
        <v>89249.686979999999</v>
      </c>
      <c r="H2096" s="131">
        <f t="shared" si="525"/>
        <v>99.111257057190443</v>
      </c>
    </row>
    <row r="2097" spans="1:8" s="82" customFormat="1" ht="31.5" hidden="1" x14ac:dyDescent="0.2">
      <c r="A2097" s="19" t="s">
        <v>121</v>
      </c>
      <c r="B2097" s="2" t="s">
        <v>1084</v>
      </c>
      <c r="C2097" s="2" t="s">
        <v>999</v>
      </c>
      <c r="D2097" s="4" t="s">
        <v>222</v>
      </c>
      <c r="E2097" s="79">
        <v>313</v>
      </c>
      <c r="F2097" s="10">
        <f>100056-10006</f>
        <v>90050</v>
      </c>
      <c r="G2097" s="10">
        <v>89249.686979999999</v>
      </c>
      <c r="H2097" s="97">
        <f t="shared" si="525"/>
        <v>99.111257057190443</v>
      </c>
    </row>
    <row r="2098" spans="1:8" ht="18.75" x14ac:dyDescent="0.2">
      <c r="A2098" s="135" t="s">
        <v>104</v>
      </c>
      <c r="B2098" s="136" t="s">
        <v>1084</v>
      </c>
      <c r="C2098" s="136" t="s">
        <v>999</v>
      </c>
      <c r="D2098" s="137" t="s">
        <v>247</v>
      </c>
      <c r="E2098" s="136"/>
      <c r="F2098" s="138">
        <f>F2099</f>
        <v>2</v>
      </c>
      <c r="G2098" s="138">
        <f t="shared" ref="G2098:G2106" si="535">G2099</f>
        <v>1.45</v>
      </c>
      <c r="H2098" s="131">
        <f t="shared" si="525"/>
        <v>72.5</v>
      </c>
    </row>
    <row r="2099" spans="1:8" ht="31.5" x14ac:dyDescent="0.2">
      <c r="A2099" s="154" t="s">
        <v>696</v>
      </c>
      <c r="B2099" s="133" t="s">
        <v>1084</v>
      </c>
      <c r="C2099" s="133" t="s">
        <v>999</v>
      </c>
      <c r="D2099" s="139" t="s">
        <v>287</v>
      </c>
      <c r="E2099" s="308"/>
      <c r="F2099" s="222">
        <f>F2100+F2104</f>
        <v>2</v>
      </c>
      <c r="G2099" s="222">
        <f t="shared" ref="G2099" si="536">G2100+G2104</f>
        <v>1.45</v>
      </c>
      <c r="H2099" s="131">
        <f t="shared" si="525"/>
        <v>72.5</v>
      </c>
    </row>
    <row r="2100" spans="1:8" ht="18.75" x14ac:dyDescent="0.2">
      <c r="A2100" s="155" t="s">
        <v>445</v>
      </c>
      <c r="B2100" s="148" t="s">
        <v>1084</v>
      </c>
      <c r="C2100" s="148" t="s">
        <v>999</v>
      </c>
      <c r="D2100" s="142" t="s">
        <v>248</v>
      </c>
      <c r="E2100" s="148"/>
      <c r="F2100" s="156">
        <f>F2101</f>
        <v>1</v>
      </c>
      <c r="G2100" s="156">
        <f t="shared" ref="G2100:G2102" si="537">G2101</f>
        <v>0.85</v>
      </c>
      <c r="H2100" s="131">
        <f t="shared" si="525"/>
        <v>85</v>
      </c>
    </row>
    <row r="2101" spans="1:8" ht="47.25" x14ac:dyDescent="0.2">
      <c r="A2101" s="157" t="s">
        <v>35</v>
      </c>
      <c r="B2101" s="141" t="s">
        <v>1084</v>
      </c>
      <c r="C2101" s="141" t="s">
        <v>999</v>
      </c>
      <c r="D2101" s="141" t="s">
        <v>248</v>
      </c>
      <c r="E2101" s="141">
        <v>100</v>
      </c>
      <c r="F2101" s="158">
        <f>F2102</f>
        <v>1</v>
      </c>
      <c r="G2101" s="158">
        <f t="shared" si="537"/>
        <v>0.85</v>
      </c>
      <c r="H2101" s="131">
        <f t="shared" si="525"/>
        <v>85</v>
      </c>
    </row>
    <row r="2102" spans="1:8" ht="18.75" x14ac:dyDescent="0.2">
      <c r="A2102" s="157" t="s">
        <v>8</v>
      </c>
      <c r="B2102" s="141" t="s">
        <v>1084</v>
      </c>
      <c r="C2102" s="141" t="s">
        <v>999</v>
      </c>
      <c r="D2102" s="141" t="s">
        <v>248</v>
      </c>
      <c r="E2102" s="141">
        <v>120</v>
      </c>
      <c r="F2102" s="158">
        <f>F2103</f>
        <v>1</v>
      </c>
      <c r="G2102" s="158">
        <f t="shared" si="537"/>
        <v>0.85</v>
      </c>
      <c r="H2102" s="131">
        <f t="shared" si="525"/>
        <v>85</v>
      </c>
    </row>
    <row r="2103" spans="1:8" s="82" customFormat="1" ht="31.5" hidden="1" x14ac:dyDescent="0.2">
      <c r="A2103" s="3" t="s">
        <v>65</v>
      </c>
      <c r="B2103" s="2" t="s">
        <v>1084</v>
      </c>
      <c r="C2103" s="2" t="s">
        <v>999</v>
      </c>
      <c r="D2103" s="2" t="s">
        <v>248</v>
      </c>
      <c r="E2103" s="2" t="s">
        <v>66</v>
      </c>
      <c r="F2103" s="62">
        <f>0+1</f>
        <v>1</v>
      </c>
      <c r="G2103" s="14">
        <v>0.85</v>
      </c>
      <c r="H2103" s="97">
        <f t="shared" si="525"/>
        <v>85</v>
      </c>
    </row>
    <row r="2104" spans="1:8" ht="18.75" x14ac:dyDescent="0.2">
      <c r="A2104" s="155" t="s">
        <v>697</v>
      </c>
      <c r="B2104" s="148" t="s">
        <v>1084</v>
      </c>
      <c r="C2104" s="148" t="s">
        <v>999</v>
      </c>
      <c r="D2104" s="142" t="s">
        <v>249</v>
      </c>
      <c r="E2104" s="309"/>
      <c r="F2104" s="156">
        <f>F2105</f>
        <v>1</v>
      </c>
      <c r="G2104" s="156">
        <f t="shared" si="535"/>
        <v>0.6</v>
      </c>
      <c r="H2104" s="131">
        <f t="shared" si="525"/>
        <v>60</v>
      </c>
    </row>
    <row r="2105" spans="1:8" ht="47.25" x14ac:dyDescent="0.2">
      <c r="A2105" s="162" t="s">
        <v>27</v>
      </c>
      <c r="B2105" s="141" t="s">
        <v>1084</v>
      </c>
      <c r="C2105" s="141" t="s">
        <v>999</v>
      </c>
      <c r="D2105" s="146" t="s">
        <v>249</v>
      </c>
      <c r="E2105" s="308" t="s">
        <v>28</v>
      </c>
      <c r="F2105" s="158">
        <f>F2106</f>
        <v>1</v>
      </c>
      <c r="G2105" s="158">
        <f t="shared" si="535"/>
        <v>0.6</v>
      </c>
      <c r="H2105" s="131">
        <f t="shared" si="525"/>
        <v>60</v>
      </c>
    </row>
    <row r="2106" spans="1:8" ht="18.75" x14ac:dyDescent="0.2">
      <c r="A2106" s="162" t="s">
        <v>30</v>
      </c>
      <c r="B2106" s="141" t="s">
        <v>1084</v>
      </c>
      <c r="C2106" s="141" t="s">
        <v>999</v>
      </c>
      <c r="D2106" s="146" t="s">
        <v>249</v>
      </c>
      <c r="E2106" s="308" t="s">
        <v>29</v>
      </c>
      <c r="F2106" s="158">
        <f>F2107</f>
        <v>1</v>
      </c>
      <c r="G2106" s="158">
        <f t="shared" si="535"/>
        <v>0.6</v>
      </c>
      <c r="H2106" s="131">
        <f t="shared" si="525"/>
        <v>60</v>
      </c>
    </row>
    <row r="2107" spans="1:8" s="82" customFormat="1" ht="31.5" hidden="1" x14ac:dyDescent="0.2">
      <c r="A2107" s="3" t="s">
        <v>79</v>
      </c>
      <c r="B2107" s="2" t="s">
        <v>1084</v>
      </c>
      <c r="C2107" s="2" t="s">
        <v>999</v>
      </c>
      <c r="D2107" s="4" t="s">
        <v>249</v>
      </c>
      <c r="E2107" s="77" t="s">
        <v>78</v>
      </c>
      <c r="F2107" s="14">
        <v>1</v>
      </c>
      <c r="G2107" s="14">
        <v>0.6</v>
      </c>
      <c r="H2107" s="97">
        <f t="shared" si="525"/>
        <v>60</v>
      </c>
    </row>
    <row r="2108" spans="1:8" ht="18.75" x14ac:dyDescent="0.2">
      <c r="A2108" s="132" t="s">
        <v>1072</v>
      </c>
      <c r="B2108" s="133" t="s">
        <v>1084</v>
      </c>
      <c r="C2108" s="133" t="s">
        <v>999</v>
      </c>
      <c r="D2108" s="133" t="s">
        <v>179</v>
      </c>
      <c r="E2108" s="133"/>
      <c r="F2108" s="134">
        <f t="shared" ref="F2108:G2112" si="538">F2109</f>
        <v>1</v>
      </c>
      <c r="G2108" s="134">
        <f t="shared" si="538"/>
        <v>0.55000000000000004</v>
      </c>
      <c r="H2108" s="131">
        <f t="shared" si="525"/>
        <v>55.000000000000007</v>
      </c>
    </row>
    <row r="2109" spans="1:8" ht="31.5" x14ac:dyDescent="0.2">
      <c r="A2109" s="132" t="s">
        <v>417</v>
      </c>
      <c r="B2109" s="133" t="s">
        <v>1084</v>
      </c>
      <c r="C2109" s="133" t="s">
        <v>999</v>
      </c>
      <c r="D2109" s="139" t="s">
        <v>418</v>
      </c>
      <c r="E2109" s="161"/>
      <c r="F2109" s="203">
        <f t="shared" si="538"/>
        <v>1</v>
      </c>
      <c r="G2109" s="203">
        <f t="shared" si="538"/>
        <v>0.55000000000000004</v>
      </c>
      <c r="H2109" s="131">
        <f t="shared" si="525"/>
        <v>55.000000000000007</v>
      </c>
    </row>
    <row r="2110" spans="1:8" ht="31.5" x14ac:dyDescent="0.2">
      <c r="A2110" s="140" t="s">
        <v>1091</v>
      </c>
      <c r="B2110" s="148" t="s">
        <v>1084</v>
      </c>
      <c r="C2110" s="148" t="s">
        <v>999</v>
      </c>
      <c r="D2110" s="142" t="s">
        <v>419</v>
      </c>
      <c r="E2110" s="148"/>
      <c r="F2110" s="183">
        <f t="shared" si="538"/>
        <v>1</v>
      </c>
      <c r="G2110" s="183">
        <f t="shared" si="538"/>
        <v>0.55000000000000004</v>
      </c>
      <c r="H2110" s="131">
        <f t="shared" si="525"/>
        <v>55.000000000000007</v>
      </c>
    </row>
    <row r="2111" spans="1:8" ht="47.25" x14ac:dyDescent="0.2">
      <c r="A2111" s="145" t="s">
        <v>35</v>
      </c>
      <c r="B2111" s="141" t="s">
        <v>1084</v>
      </c>
      <c r="C2111" s="141" t="s">
        <v>999</v>
      </c>
      <c r="D2111" s="141" t="s">
        <v>419</v>
      </c>
      <c r="E2111" s="141">
        <v>100</v>
      </c>
      <c r="F2111" s="160">
        <f t="shared" si="538"/>
        <v>1</v>
      </c>
      <c r="G2111" s="160">
        <f t="shared" si="538"/>
        <v>0.55000000000000004</v>
      </c>
      <c r="H2111" s="131">
        <f t="shared" si="525"/>
        <v>55.000000000000007</v>
      </c>
    </row>
    <row r="2112" spans="1:8" ht="18.75" x14ac:dyDescent="0.2">
      <c r="A2112" s="145" t="s">
        <v>8</v>
      </c>
      <c r="B2112" s="141" t="s">
        <v>1084</v>
      </c>
      <c r="C2112" s="141" t="s">
        <v>999</v>
      </c>
      <c r="D2112" s="141" t="s">
        <v>419</v>
      </c>
      <c r="E2112" s="141">
        <v>120</v>
      </c>
      <c r="F2112" s="160">
        <f t="shared" si="538"/>
        <v>1</v>
      </c>
      <c r="G2112" s="160">
        <f t="shared" si="538"/>
        <v>0.55000000000000004</v>
      </c>
      <c r="H2112" s="131">
        <f t="shared" si="525"/>
        <v>55.000000000000007</v>
      </c>
    </row>
    <row r="2113" spans="1:8" s="82" customFormat="1" ht="31.5" hidden="1" x14ac:dyDescent="0.2">
      <c r="A2113" s="3" t="s">
        <v>92</v>
      </c>
      <c r="B2113" s="2" t="s">
        <v>1084</v>
      </c>
      <c r="C2113" s="2" t="s">
        <v>999</v>
      </c>
      <c r="D2113" s="2" t="s">
        <v>419</v>
      </c>
      <c r="E2113" s="2" t="s">
        <v>66</v>
      </c>
      <c r="F2113" s="62">
        <v>1</v>
      </c>
      <c r="G2113" s="62">
        <v>0.55000000000000004</v>
      </c>
      <c r="H2113" s="97">
        <f t="shared" si="525"/>
        <v>55.000000000000007</v>
      </c>
    </row>
    <row r="2114" spans="1:8" ht="31.5" x14ac:dyDescent="0.2">
      <c r="A2114" s="132" t="s">
        <v>1092</v>
      </c>
      <c r="B2114" s="133" t="s">
        <v>1084</v>
      </c>
      <c r="C2114" s="133" t="s">
        <v>999</v>
      </c>
      <c r="D2114" s="133" t="s">
        <v>156</v>
      </c>
      <c r="E2114" s="133"/>
      <c r="F2114" s="134">
        <f>F2121+F2115</f>
        <v>10</v>
      </c>
      <c r="G2114" s="134">
        <f t="shared" ref="G2114" si="539">G2121+G2115</f>
        <v>8.1304300000000005</v>
      </c>
      <c r="H2114" s="131">
        <f t="shared" si="525"/>
        <v>81.304300000000012</v>
      </c>
    </row>
    <row r="2115" spans="1:8" ht="31.5" x14ac:dyDescent="0.2">
      <c r="A2115" s="135" t="s">
        <v>131</v>
      </c>
      <c r="B2115" s="136">
        <v>10</v>
      </c>
      <c r="C2115" s="136" t="s">
        <v>999</v>
      </c>
      <c r="D2115" s="137" t="s">
        <v>170</v>
      </c>
      <c r="E2115" s="173"/>
      <c r="F2115" s="138">
        <f>F2116</f>
        <v>1</v>
      </c>
      <c r="G2115" s="138">
        <f t="shared" ref="G2115" si="540">G2116</f>
        <v>0.9</v>
      </c>
      <c r="H2115" s="131">
        <f t="shared" si="525"/>
        <v>90</v>
      </c>
    </row>
    <row r="2116" spans="1:8" ht="31.5" x14ac:dyDescent="0.2">
      <c r="A2116" s="132" t="s">
        <v>1024</v>
      </c>
      <c r="B2116" s="133">
        <v>10</v>
      </c>
      <c r="C2116" s="133" t="s">
        <v>999</v>
      </c>
      <c r="D2116" s="139" t="s">
        <v>347</v>
      </c>
      <c r="E2116" s="161"/>
      <c r="F2116" s="134">
        <f>F2117</f>
        <v>1</v>
      </c>
      <c r="G2116" s="134">
        <f>G2117</f>
        <v>0.9</v>
      </c>
      <c r="H2116" s="131">
        <f t="shared" ref="H2116:H2178" si="541">G2116/F2116*100</f>
        <v>90</v>
      </c>
    </row>
    <row r="2117" spans="1:8" ht="18.75" x14ac:dyDescent="0.2">
      <c r="A2117" s="140" t="s">
        <v>133</v>
      </c>
      <c r="B2117" s="148">
        <v>10</v>
      </c>
      <c r="C2117" s="148" t="s">
        <v>999</v>
      </c>
      <c r="D2117" s="148" t="s">
        <v>348</v>
      </c>
      <c r="E2117" s="148"/>
      <c r="F2117" s="144">
        <f>F2118</f>
        <v>1</v>
      </c>
      <c r="G2117" s="144">
        <f t="shared" ref="G2117" si="542">G2118</f>
        <v>0.9</v>
      </c>
      <c r="H2117" s="131">
        <f t="shared" si="541"/>
        <v>90</v>
      </c>
    </row>
    <row r="2118" spans="1:8" ht="47.25" x14ac:dyDescent="0.2">
      <c r="A2118" s="145" t="s">
        <v>27</v>
      </c>
      <c r="B2118" s="141">
        <v>10</v>
      </c>
      <c r="C2118" s="141" t="s">
        <v>999</v>
      </c>
      <c r="D2118" s="141" t="s">
        <v>348</v>
      </c>
      <c r="E2118" s="141" t="s">
        <v>28</v>
      </c>
      <c r="F2118" s="147">
        <f>F2119</f>
        <v>1</v>
      </c>
      <c r="G2118" s="147">
        <f>G2119</f>
        <v>0.9</v>
      </c>
      <c r="H2118" s="131">
        <f t="shared" si="541"/>
        <v>90</v>
      </c>
    </row>
    <row r="2119" spans="1:8" ht="18.75" x14ac:dyDescent="0.2">
      <c r="A2119" s="145" t="s">
        <v>30</v>
      </c>
      <c r="B2119" s="141">
        <v>10</v>
      </c>
      <c r="C2119" s="141" t="s">
        <v>999</v>
      </c>
      <c r="D2119" s="141" t="s">
        <v>348</v>
      </c>
      <c r="E2119" s="141" t="s">
        <v>29</v>
      </c>
      <c r="F2119" s="147">
        <f>F2120</f>
        <v>1</v>
      </c>
      <c r="G2119" s="147">
        <f t="shared" ref="G2119" si="543">G2120</f>
        <v>0.9</v>
      </c>
      <c r="H2119" s="131">
        <f t="shared" si="541"/>
        <v>90</v>
      </c>
    </row>
    <row r="2120" spans="1:8" s="82" customFormat="1" ht="31.5" hidden="1" x14ac:dyDescent="0.2">
      <c r="A2120" s="3" t="s">
        <v>79</v>
      </c>
      <c r="B2120" s="2">
        <v>10</v>
      </c>
      <c r="C2120" s="2" t="s">
        <v>999</v>
      </c>
      <c r="D2120" s="2" t="s">
        <v>348</v>
      </c>
      <c r="E2120" s="2" t="s">
        <v>78</v>
      </c>
      <c r="F2120" s="62">
        <v>1</v>
      </c>
      <c r="G2120" s="62">
        <v>0.9</v>
      </c>
      <c r="H2120" s="97">
        <f t="shared" si="541"/>
        <v>90</v>
      </c>
    </row>
    <row r="2121" spans="1:8" ht="18.75" x14ac:dyDescent="0.2">
      <c r="A2121" s="135" t="s">
        <v>349</v>
      </c>
      <c r="B2121" s="136" t="s">
        <v>1084</v>
      </c>
      <c r="C2121" s="136" t="s">
        <v>999</v>
      </c>
      <c r="D2121" s="137" t="s">
        <v>350</v>
      </c>
      <c r="E2121" s="136"/>
      <c r="F2121" s="138">
        <f>F2122</f>
        <v>9</v>
      </c>
      <c r="G2121" s="138">
        <f>G2122</f>
        <v>7.2304300000000001</v>
      </c>
      <c r="H2121" s="131">
        <f t="shared" si="541"/>
        <v>80.338111111111104</v>
      </c>
    </row>
    <row r="2122" spans="1:8" ht="31.5" x14ac:dyDescent="0.2">
      <c r="A2122" s="132" t="s">
        <v>362</v>
      </c>
      <c r="B2122" s="136" t="s">
        <v>1084</v>
      </c>
      <c r="C2122" s="136" t="s">
        <v>999</v>
      </c>
      <c r="D2122" s="139" t="s">
        <v>357</v>
      </c>
      <c r="E2122" s="308"/>
      <c r="F2122" s="222">
        <f>F2127+F2123</f>
        <v>9</v>
      </c>
      <c r="G2122" s="222">
        <f t="shared" ref="G2122" si="544">G2127+G2123</f>
        <v>7.2304300000000001</v>
      </c>
      <c r="H2122" s="131">
        <f t="shared" si="541"/>
        <v>80.338111111111104</v>
      </c>
    </row>
    <row r="2123" spans="1:8" ht="31.5" x14ac:dyDescent="0.2">
      <c r="A2123" s="135" t="s">
        <v>1026</v>
      </c>
      <c r="B2123" s="136" t="s">
        <v>1084</v>
      </c>
      <c r="C2123" s="136" t="s">
        <v>999</v>
      </c>
      <c r="D2123" s="136" t="s">
        <v>531</v>
      </c>
      <c r="E2123" s="161"/>
      <c r="F2123" s="138">
        <f>F2124</f>
        <v>3</v>
      </c>
      <c r="G2123" s="138">
        <f t="shared" ref="G2123:G2125" si="545">G2124</f>
        <v>2.0747300000000002</v>
      </c>
      <c r="H2123" s="131">
        <f t="shared" si="541"/>
        <v>69.157666666666671</v>
      </c>
    </row>
    <row r="2124" spans="1:8" ht="47.25" x14ac:dyDescent="0.2">
      <c r="A2124" s="150" t="s">
        <v>27</v>
      </c>
      <c r="B2124" s="141" t="s">
        <v>1084</v>
      </c>
      <c r="C2124" s="141" t="s">
        <v>999</v>
      </c>
      <c r="D2124" s="146" t="s">
        <v>531</v>
      </c>
      <c r="E2124" s="141" t="s">
        <v>28</v>
      </c>
      <c r="F2124" s="158">
        <f>F2125</f>
        <v>3</v>
      </c>
      <c r="G2124" s="158">
        <f t="shared" si="545"/>
        <v>2.0747300000000002</v>
      </c>
      <c r="H2124" s="131">
        <f t="shared" si="541"/>
        <v>69.157666666666671</v>
      </c>
    </row>
    <row r="2125" spans="1:8" ht="18.75" x14ac:dyDescent="0.2">
      <c r="A2125" s="150" t="s">
        <v>30</v>
      </c>
      <c r="B2125" s="141" t="s">
        <v>1084</v>
      </c>
      <c r="C2125" s="141" t="s">
        <v>999</v>
      </c>
      <c r="D2125" s="146" t="s">
        <v>531</v>
      </c>
      <c r="E2125" s="141" t="s">
        <v>29</v>
      </c>
      <c r="F2125" s="158">
        <f>F2126</f>
        <v>3</v>
      </c>
      <c r="G2125" s="158">
        <f t="shared" si="545"/>
        <v>2.0747300000000002</v>
      </c>
      <c r="H2125" s="131">
        <f t="shared" si="541"/>
        <v>69.157666666666671</v>
      </c>
    </row>
    <row r="2126" spans="1:8" s="82" customFormat="1" ht="31.5" hidden="1" x14ac:dyDescent="0.2">
      <c r="A2126" s="3" t="s">
        <v>79</v>
      </c>
      <c r="B2126" s="2" t="s">
        <v>1084</v>
      </c>
      <c r="C2126" s="2" t="s">
        <v>999</v>
      </c>
      <c r="D2126" s="4" t="s">
        <v>531</v>
      </c>
      <c r="E2126" s="2" t="s">
        <v>78</v>
      </c>
      <c r="F2126" s="14">
        <f>2+1</f>
        <v>3</v>
      </c>
      <c r="G2126" s="14">
        <v>2.0747300000000002</v>
      </c>
      <c r="H2126" s="97">
        <f t="shared" si="541"/>
        <v>69.157666666666671</v>
      </c>
    </row>
    <row r="2127" spans="1:8" ht="18.75" x14ac:dyDescent="0.2">
      <c r="A2127" s="140" t="s">
        <v>1004</v>
      </c>
      <c r="B2127" s="141" t="s">
        <v>1084</v>
      </c>
      <c r="C2127" s="141" t="s">
        <v>999</v>
      </c>
      <c r="D2127" s="142" t="s">
        <v>359</v>
      </c>
      <c r="E2127" s="308"/>
      <c r="F2127" s="266">
        <f>F2128</f>
        <v>6</v>
      </c>
      <c r="G2127" s="266">
        <f t="shared" ref="G2127:G2129" si="546">G2128</f>
        <v>5.1557000000000004</v>
      </c>
      <c r="H2127" s="131">
        <f t="shared" si="541"/>
        <v>85.928333333333342</v>
      </c>
    </row>
    <row r="2128" spans="1:8" ht="47.25" x14ac:dyDescent="0.2">
      <c r="A2128" s="145" t="s">
        <v>35</v>
      </c>
      <c r="B2128" s="141" t="s">
        <v>1084</v>
      </c>
      <c r="C2128" s="141" t="s">
        <v>999</v>
      </c>
      <c r="D2128" s="146" t="s">
        <v>359</v>
      </c>
      <c r="E2128" s="141" t="s">
        <v>28</v>
      </c>
      <c r="F2128" s="147">
        <f>F2129</f>
        <v>6</v>
      </c>
      <c r="G2128" s="158">
        <f t="shared" si="546"/>
        <v>5.1557000000000004</v>
      </c>
      <c r="H2128" s="131">
        <f t="shared" si="541"/>
        <v>85.928333333333342</v>
      </c>
    </row>
    <row r="2129" spans="1:8" ht="18.75" x14ac:dyDescent="0.2">
      <c r="A2129" s="145" t="s">
        <v>8</v>
      </c>
      <c r="B2129" s="141" t="s">
        <v>1084</v>
      </c>
      <c r="C2129" s="141" t="s">
        <v>999</v>
      </c>
      <c r="D2129" s="146" t="s">
        <v>359</v>
      </c>
      <c r="E2129" s="141" t="s">
        <v>56</v>
      </c>
      <c r="F2129" s="147">
        <f>F2130</f>
        <v>6</v>
      </c>
      <c r="G2129" s="158">
        <f t="shared" si="546"/>
        <v>5.1557000000000004</v>
      </c>
      <c r="H2129" s="131">
        <f t="shared" si="541"/>
        <v>85.928333333333342</v>
      </c>
    </row>
    <row r="2130" spans="1:8" s="82" customFormat="1" ht="31.5" hidden="1" x14ac:dyDescent="0.2">
      <c r="A2130" s="3" t="s">
        <v>65</v>
      </c>
      <c r="B2130" s="2" t="s">
        <v>1084</v>
      </c>
      <c r="C2130" s="2" t="s">
        <v>999</v>
      </c>
      <c r="D2130" s="4" t="s">
        <v>359</v>
      </c>
      <c r="E2130" s="9">
        <v>122</v>
      </c>
      <c r="F2130" s="10">
        <f>5+1</f>
        <v>6</v>
      </c>
      <c r="G2130" s="10">
        <v>5.1557000000000004</v>
      </c>
      <c r="H2130" s="97">
        <f t="shared" si="541"/>
        <v>85.928333333333342</v>
      </c>
    </row>
    <row r="2131" spans="1:8" ht="18.75" x14ac:dyDescent="0.2">
      <c r="A2131" s="132" t="s">
        <v>1093</v>
      </c>
      <c r="B2131" s="133" t="s">
        <v>1084</v>
      </c>
      <c r="C2131" s="133" t="s">
        <v>999</v>
      </c>
      <c r="D2131" s="133" t="s">
        <v>172</v>
      </c>
      <c r="E2131" s="133"/>
      <c r="F2131" s="134">
        <f>F2138+F2132</f>
        <v>62080.6</v>
      </c>
      <c r="G2131" s="134">
        <f>G2138+G2132</f>
        <v>62078.132400000002</v>
      </c>
      <c r="H2131" s="131">
        <f t="shared" si="541"/>
        <v>99.996025167282539</v>
      </c>
    </row>
    <row r="2132" spans="1:8" ht="18.75" x14ac:dyDescent="0.2">
      <c r="A2132" s="135" t="s">
        <v>510</v>
      </c>
      <c r="B2132" s="136" t="s">
        <v>1084</v>
      </c>
      <c r="C2132" s="136" t="s">
        <v>994</v>
      </c>
      <c r="D2132" s="137" t="s">
        <v>511</v>
      </c>
      <c r="E2132" s="148"/>
      <c r="F2132" s="310">
        <f>F2133</f>
        <v>18555.599999999999</v>
      </c>
      <c r="G2132" s="310">
        <f t="shared" ref="G2132:G2136" si="547">G2133</f>
        <v>18554.432400000002</v>
      </c>
      <c r="H2132" s="131">
        <f t="shared" si="541"/>
        <v>99.9937075599819</v>
      </c>
    </row>
    <row r="2133" spans="1:8" ht="47.25" x14ac:dyDescent="0.2">
      <c r="A2133" s="132" t="s">
        <v>512</v>
      </c>
      <c r="B2133" s="133" t="s">
        <v>1084</v>
      </c>
      <c r="C2133" s="133" t="s">
        <v>994</v>
      </c>
      <c r="D2133" s="139" t="s">
        <v>513</v>
      </c>
      <c r="E2133" s="141"/>
      <c r="F2133" s="186">
        <f>F2134</f>
        <v>18555.599999999999</v>
      </c>
      <c r="G2133" s="186">
        <f t="shared" si="547"/>
        <v>18554.432400000002</v>
      </c>
      <c r="H2133" s="131">
        <f t="shared" si="541"/>
        <v>99.9937075599819</v>
      </c>
    </row>
    <row r="2134" spans="1:8" ht="18.75" x14ac:dyDescent="0.2">
      <c r="A2134" s="140" t="s">
        <v>611</v>
      </c>
      <c r="B2134" s="148" t="s">
        <v>1084</v>
      </c>
      <c r="C2134" s="148" t="s">
        <v>994</v>
      </c>
      <c r="D2134" s="148" t="s">
        <v>612</v>
      </c>
      <c r="E2134" s="148"/>
      <c r="F2134" s="256">
        <f>F2135</f>
        <v>18555.599999999999</v>
      </c>
      <c r="G2134" s="256">
        <f t="shared" si="547"/>
        <v>18554.432400000002</v>
      </c>
      <c r="H2134" s="131">
        <f t="shared" si="541"/>
        <v>99.9937075599819</v>
      </c>
    </row>
    <row r="2135" spans="1:8" ht="18.75" x14ac:dyDescent="0.2">
      <c r="A2135" s="145" t="s">
        <v>22</v>
      </c>
      <c r="B2135" s="141" t="s">
        <v>1084</v>
      </c>
      <c r="C2135" s="219" t="s">
        <v>994</v>
      </c>
      <c r="D2135" s="141" t="s">
        <v>612</v>
      </c>
      <c r="E2135" s="141">
        <v>300</v>
      </c>
      <c r="F2135" s="254">
        <f>F2136</f>
        <v>18555.599999999999</v>
      </c>
      <c r="G2135" s="254">
        <f t="shared" si="547"/>
        <v>18554.432400000002</v>
      </c>
      <c r="H2135" s="131">
        <f t="shared" si="541"/>
        <v>99.9937075599819</v>
      </c>
    </row>
    <row r="2136" spans="1:8" ht="18.75" x14ac:dyDescent="0.2">
      <c r="A2136" s="145" t="s">
        <v>36</v>
      </c>
      <c r="B2136" s="141" t="s">
        <v>1084</v>
      </c>
      <c r="C2136" s="219" t="s">
        <v>994</v>
      </c>
      <c r="D2136" s="141" t="s">
        <v>612</v>
      </c>
      <c r="E2136" s="141">
        <v>310</v>
      </c>
      <c r="F2136" s="254">
        <f>F2137</f>
        <v>18555.599999999999</v>
      </c>
      <c r="G2136" s="254">
        <f t="shared" si="547"/>
        <v>18554.432400000002</v>
      </c>
      <c r="H2136" s="131">
        <f t="shared" si="541"/>
        <v>99.9937075599819</v>
      </c>
    </row>
    <row r="2137" spans="1:8" s="82" customFormat="1" ht="31.5" hidden="1" x14ac:dyDescent="0.2">
      <c r="A2137" s="3" t="s">
        <v>121</v>
      </c>
      <c r="B2137" s="2" t="s">
        <v>1084</v>
      </c>
      <c r="C2137" s="49" t="s">
        <v>994</v>
      </c>
      <c r="D2137" s="2" t="s">
        <v>612</v>
      </c>
      <c r="E2137" s="2">
        <v>313</v>
      </c>
      <c r="F2137" s="39">
        <f>13288+10374.6-2455-1500-1152</f>
        <v>18555.599999999999</v>
      </c>
      <c r="G2137" s="21">
        <v>18554.432400000002</v>
      </c>
      <c r="H2137" s="97">
        <f t="shared" si="541"/>
        <v>99.9937075599819</v>
      </c>
    </row>
    <row r="2138" spans="1:8" ht="31.5" x14ac:dyDescent="0.2">
      <c r="A2138" s="135" t="s">
        <v>1094</v>
      </c>
      <c r="B2138" s="136" t="s">
        <v>1084</v>
      </c>
      <c r="C2138" s="136" t="s">
        <v>999</v>
      </c>
      <c r="D2138" s="137" t="s">
        <v>175</v>
      </c>
      <c r="E2138" s="136"/>
      <c r="F2138" s="138">
        <f t="shared" ref="F2138:G2142" si="548">F2139</f>
        <v>43525</v>
      </c>
      <c r="G2138" s="138">
        <f t="shared" si="548"/>
        <v>43523.7</v>
      </c>
      <c r="H2138" s="131">
        <f t="shared" si="541"/>
        <v>99.997013210798386</v>
      </c>
    </row>
    <row r="2139" spans="1:8" ht="47.25" x14ac:dyDescent="0.2">
      <c r="A2139" s="132" t="s">
        <v>173</v>
      </c>
      <c r="B2139" s="133" t="s">
        <v>1084</v>
      </c>
      <c r="C2139" s="133" t="s">
        <v>999</v>
      </c>
      <c r="D2139" s="161" t="s">
        <v>174</v>
      </c>
      <c r="E2139" s="170"/>
      <c r="F2139" s="134">
        <f t="shared" si="548"/>
        <v>43525</v>
      </c>
      <c r="G2139" s="134">
        <f t="shared" si="548"/>
        <v>43523.7</v>
      </c>
      <c r="H2139" s="131">
        <f t="shared" si="541"/>
        <v>99.997013210798386</v>
      </c>
    </row>
    <row r="2140" spans="1:8" ht="47.25" x14ac:dyDescent="0.2">
      <c r="A2140" s="145" t="s">
        <v>1095</v>
      </c>
      <c r="B2140" s="141" t="s">
        <v>1084</v>
      </c>
      <c r="C2140" s="141" t="s">
        <v>999</v>
      </c>
      <c r="D2140" s="171" t="s">
        <v>461</v>
      </c>
      <c r="E2140" s="159"/>
      <c r="F2140" s="147">
        <f t="shared" si="548"/>
        <v>43525</v>
      </c>
      <c r="G2140" s="147">
        <f t="shared" si="548"/>
        <v>43523.7</v>
      </c>
      <c r="H2140" s="131">
        <f t="shared" si="541"/>
        <v>99.997013210798386</v>
      </c>
    </row>
    <row r="2141" spans="1:8" ht="31.5" x14ac:dyDescent="0.2">
      <c r="A2141" s="145" t="s">
        <v>1096</v>
      </c>
      <c r="B2141" s="141" t="s">
        <v>1084</v>
      </c>
      <c r="C2141" s="141" t="s">
        <v>999</v>
      </c>
      <c r="D2141" s="171" t="s">
        <v>461</v>
      </c>
      <c r="E2141" s="159">
        <v>400</v>
      </c>
      <c r="F2141" s="147">
        <f t="shared" si="548"/>
        <v>43525</v>
      </c>
      <c r="G2141" s="147">
        <f t="shared" si="548"/>
        <v>43523.7</v>
      </c>
      <c r="H2141" s="131">
        <f t="shared" si="541"/>
        <v>99.997013210798386</v>
      </c>
    </row>
    <row r="2142" spans="1:8" ht="18.75" x14ac:dyDescent="0.2">
      <c r="A2142" s="145" t="s">
        <v>51</v>
      </c>
      <c r="B2142" s="141" t="s">
        <v>1084</v>
      </c>
      <c r="C2142" s="141" t="s">
        <v>999</v>
      </c>
      <c r="D2142" s="171" t="s">
        <v>461</v>
      </c>
      <c r="E2142" s="159">
        <v>410</v>
      </c>
      <c r="F2142" s="147">
        <f t="shared" si="548"/>
        <v>43525</v>
      </c>
      <c r="G2142" s="147">
        <f t="shared" si="548"/>
        <v>43523.7</v>
      </c>
      <c r="H2142" s="131">
        <f t="shared" si="541"/>
        <v>99.997013210798386</v>
      </c>
    </row>
    <row r="2143" spans="1:8" s="82" customFormat="1" ht="31.5" hidden="1" x14ac:dyDescent="0.2">
      <c r="A2143" s="3" t="s">
        <v>113</v>
      </c>
      <c r="B2143" s="2" t="s">
        <v>1084</v>
      </c>
      <c r="C2143" s="2" t="s">
        <v>999</v>
      </c>
      <c r="D2143" s="13" t="s">
        <v>461</v>
      </c>
      <c r="E2143" s="9">
        <v>412</v>
      </c>
      <c r="F2143" s="10">
        <f>31654+11871</f>
        <v>43525</v>
      </c>
      <c r="G2143" s="10">
        <v>43523.7</v>
      </c>
      <c r="H2143" s="97">
        <f t="shared" si="541"/>
        <v>99.997013210798386</v>
      </c>
    </row>
    <row r="2144" spans="1:8" ht="31.5" x14ac:dyDescent="0.2">
      <c r="A2144" s="132" t="s">
        <v>995</v>
      </c>
      <c r="B2144" s="133" t="s">
        <v>1084</v>
      </c>
      <c r="C2144" s="133" t="s">
        <v>999</v>
      </c>
      <c r="D2144" s="133" t="s">
        <v>157</v>
      </c>
      <c r="E2144" s="133"/>
      <c r="F2144" s="134">
        <f>F2145</f>
        <v>2</v>
      </c>
      <c r="G2144" s="134">
        <f t="shared" ref="G2144:G2145" si="549">G2145</f>
        <v>0.75161</v>
      </c>
      <c r="H2144" s="131">
        <f t="shared" si="541"/>
        <v>37.580500000000001</v>
      </c>
    </row>
    <row r="2145" spans="1:11" ht="18.75" x14ac:dyDescent="0.2">
      <c r="A2145" s="140" t="s">
        <v>996</v>
      </c>
      <c r="B2145" s="141" t="s">
        <v>1084</v>
      </c>
      <c r="C2145" s="141" t="s">
        <v>999</v>
      </c>
      <c r="D2145" s="148" t="s">
        <v>158</v>
      </c>
      <c r="E2145" s="149"/>
      <c r="F2145" s="144">
        <f>F2146</f>
        <v>2</v>
      </c>
      <c r="G2145" s="144">
        <f t="shared" si="549"/>
        <v>0.75161</v>
      </c>
      <c r="H2145" s="131">
        <f t="shared" si="541"/>
        <v>37.580500000000001</v>
      </c>
    </row>
    <row r="2146" spans="1:11" ht="47.25" x14ac:dyDescent="0.2">
      <c r="A2146" s="145" t="s">
        <v>27</v>
      </c>
      <c r="B2146" s="141" t="s">
        <v>1084</v>
      </c>
      <c r="C2146" s="141" t="s">
        <v>999</v>
      </c>
      <c r="D2146" s="141" t="s">
        <v>158</v>
      </c>
      <c r="E2146" s="141">
        <v>100</v>
      </c>
      <c r="F2146" s="147">
        <f>F2147</f>
        <v>2</v>
      </c>
      <c r="G2146" s="147">
        <f>G2147</f>
        <v>0.75161</v>
      </c>
      <c r="H2146" s="131">
        <f t="shared" si="541"/>
        <v>37.580500000000001</v>
      </c>
    </row>
    <row r="2147" spans="1:11" ht="18.75" x14ac:dyDescent="0.2">
      <c r="A2147" s="145" t="s">
        <v>8</v>
      </c>
      <c r="B2147" s="141" t="s">
        <v>1084</v>
      </c>
      <c r="C2147" s="141" t="s">
        <v>999</v>
      </c>
      <c r="D2147" s="141" t="s">
        <v>158</v>
      </c>
      <c r="E2147" s="141">
        <v>120</v>
      </c>
      <c r="F2147" s="147">
        <f>F2148</f>
        <v>2</v>
      </c>
      <c r="G2147" s="147">
        <f t="shared" ref="G2147" si="550">G2148</f>
        <v>0.75161</v>
      </c>
      <c r="H2147" s="131">
        <f t="shared" si="541"/>
        <v>37.580500000000001</v>
      </c>
    </row>
    <row r="2148" spans="1:11" s="82" customFormat="1" ht="31.5" hidden="1" x14ac:dyDescent="0.2">
      <c r="A2148" s="3" t="s">
        <v>65</v>
      </c>
      <c r="B2148" s="2" t="s">
        <v>1084</v>
      </c>
      <c r="C2148" s="2" t="s">
        <v>999</v>
      </c>
      <c r="D2148" s="2" t="s">
        <v>158</v>
      </c>
      <c r="E2148" s="2" t="s">
        <v>66</v>
      </c>
      <c r="F2148" s="36">
        <f>1+1</f>
        <v>2</v>
      </c>
      <c r="G2148" s="36">
        <v>0.75161</v>
      </c>
      <c r="H2148" s="97">
        <f t="shared" si="541"/>
        <v>37.580500000000001</v>
      </c>
    </row>
    <row r="2149" spans="1:11" ht="18.75" x14ac:dyDescent="0.2">
      <c r="A2149" s="128" t="s">
        <v>1097</v>
      </c>
      <c r="B2149" s="129">
        <v>11</v>
      </c>
      <c r="C2149" s="129"/>
      <c r="D2149" s="129"/>
      <c r="E2149" s="129"/>
      <c r="F2149" s="130">
        <f>F2150+F2208+F2257</f>
        <v>840008.82</v>
      </c>
      <c r="G2149" s="130">
        <f>G2150+G2208+G2257</f>
        <v>826198.30137</v>
      </c>
      <c r="H2149" s="131">
        <f t="shared" si="541"/>
        <v>98.355907902252753</v>
      </c>
      <c r="I2149" s="96"/>
      <c r="K2149" s="96">
        <f>826198.30137-G2149</f>
        <v>0</v>
      </c>
    </row>
    <row r="2150" spans="1:11" ht="18.75" x14ac:dyDescent="0.2">
      <c r="A2150" s="132" t="s">
        <v>1098</v>
      </c>
      <c r="B2150" s="133">
        <v>11</v>
      </c>
      <c r="C2150" s="133" t="s">
        <v>992</v>
      </c>
      <c r="D2150" s="161"/>
      <c r="E2150" s="161"/>
      <c r="F2150" s="134">
        <f>F2161+F2151</f>
        <v>629060.19999999995</v>
      </c>
      <c r="G2150" s="201">
        <f>G2161+G2151</f>
        <v>616006.12833999994</v>
      </c>
      <c r="H2150" s="131">
        <f t="shared" si="541"/>
        <v>97.924829505983695</v>
      </c>
    </row>
    <row r="2151" spans="1:11" ht="31.5" x14ac:dyDescent="0.2">
      <c r="A2151" s="132" t="s">
        <v>1048</v>
      </c>
      <c r="B2151" s="133" t="s">
        <v>1016</v>
      </c>
      <c r="C2151" s="133" t="s">
        <v>992</v>
      </c>
      <c r="D2151" s="133" t="s">
        <v>562</v>
      </c>
      <c r="E2151" s="133"/>
      <c r="F2151" s="134">
        <f>F2152</f>
        <v>2769</v>
      </c>
      <c r="G2151" s="134">
        <f t="shared" ref="G2151:G2155" si="551">G2152</f>
        <v>2768.1</v>
      </c>
      <c r="H2151" s="131">
        <f t="shared" si="541"/>
        <v>99.967497291440949</v>
      </c>
    </row>
    <row r="2152" spans="1:11" ht="31.5" x14ac:dyDescent="0.2">
      <c r="A2152" s="132" t="s">
        <v>609</v>
      </c>
      <c r="B2152" s="133" t="s">
        <v>1016</v>
      </c>
      <c r="C2152" s="133" t="s">
        <v>992</v>
      </c>
      <c r="D2152" s="139" t="s">
        <v>578</v>
      </c>
      <c r="E2152" s="141"/>
      <c r="F2152" s="134">
        <f>F2153+F2157</f>
        <v>2769</v>
      </c>
      <c r="G2152" s="134">
        <f t="shared" ref="G2152" si="552">G2153+G2157</f>
        <v>2768.1</v>
      </c>
      <c r="H2152" s="131">
        <f t="shared" si="541"/>
        <v>99.967497291440949</v>
      </c>
    </row>
    <row r="2153" spans="1:11" ht="31.5" x14ac:dyDescent="0.2">
      <c r="A2153" s="140" t="s">
        <v>580</v>
      </c>
      <c r="B2153" s="148" t="s">
        <v>1016</v>
      </c>
      <c r="C2153" s="148" t="s">
        <v>992</v>
      </c>
      <c r="D2153" s="142" t="s">
        <v>579</v>
      </c>
      <c r="E2153" s="148"/>
      <c r="F2153" s="144">
        <f>F2154</f>
        <v>2689</v>
      </c>
      <c r="G2153" s="144">
        <f t="shared" si="551"/>
        <v>2688.1</v>
      </c>
      <c r="H2153" s="131">
        <f t="shared" si="541"/>
        <v>99.966530308664929</v>
      </c>
    </row>
    <row r="2154" spans="1:11" ht="31.5" x14ac:dyDescent="0.2">
      <c r="A2154" s="145" t="s">
        <v>18</v>
      </c>
      <c r="B2154" s="141" t="s">
        <v>1016</v>
      </c>
      <c r="C2154" s="141" t="s">
        <v>992</v>
      </c>
      <c r="D2154" s="146" t="s">
        <v>579</v>
      </c>
      <c r="E2154" s="141" t="s">
        <v>20</v>
      </c>
      <c r="F2154" s="147">
        <f>F2155</f>
        <v>2689</v>
      </c>
      <c r="G2154" s="147">
        <f t="shared" si="551"/>
        <v>2688.1</v>
      </c>
      <c r="H2154" s="131">
        <f t="shared" si="541"/>
        <v>99.966530308664929</v>
      </c>
    </row>
    <row r="2155" spans="1:11" ht="18.75" x14ac:dyDescent="0.2">
      <c r="A2155" s="145" t="s">
        <v>19</v>
      </c>
      <c r="B2155" s="141" t="s">
        <v>1016</v>
      </c>
      <c r="C2155" s="141" t="s">
        <v>992</v>
      </c>
      <c r="D2155" s="146" t="s">
        <v>579</v>
      </c>
      <c r="E2155" s="141" t="s">
        <v>21</v>
      </c>
      <c r="F2155" s="147">
        <f>F2156</f>
        <v>2689</v>
      </c>
      <c r="G2155" s="147">
        <f t="shared" si="551"/>
        <v>2688.1</v>
      </c>
      <c r="H2155" s="131">
        <f t="shared" si="541"/>
        <v>99.966530308664929</v>
      </c>
    </row>
    <row r="2156" spans="1:11" s="82" customFormat="1" ht="18.75" hidden="1" x14ac:dyDescent="0.2">
      <c r="A2156" s="3" t="s">
        <v>74</v>
      </c>
      <c r="B2156" s="2" t="s">
        <v>1016</v>
      </c>
      <c r="C2156" s="2" t="s">
        <v>992</v>
      </c>
      <c r="D2156" s="4" t="s">
        <v>579</v>
      </c>
      <c r="E2156" s="2" t="s">
        <v>75</v>
      </c>
      <c r="F2156" s="10">
        <f>2900-211</f>
        <v>2689</v>
      </c>
      <c r="G2156" s="10">
        <v>2688.1</v>
      </c>
      <c r="H2156" s="97">
        <f t="shared" si="541"/>
        <v>99.966530308664929</v>
      </c>
    </row>
    <row r="2157" spans="1:11" ht="18.75" x14ac:dyDescent="0.2">
      <c r="A2157" s="155" t="s">
        <v>709</v>
      </c>
      <c r="B2157" s="148" t="s">
        <v>1016</v>
      </c>
      <c r="C2157" s="148" t="s">
        <v>992</v>
      </c>
      <c r="D2157" s="148" t="s">
        <v>710</v>
      </c>
      <c r="E2157" s="148"/>
      <c r="F2157" s="183">
        <f>F2158</f>
        <v>80</v>
      </c>
      <c r="G2157" s="183">
        <f t="shared" ref="G2157:G2159" si="553">G2158</f>
        <v>80</v>
      </c>
      <c r="H2157" s="131">
        <f t="shared" si="541"/>
        <v>100</v>
      </c>
    </row>
    <row r="2158" spans="1:11" ht="31.5" x14ac:dyDescent="0.2">
      <c r="A2158" s="157" t="s">
        <v>18</v>
      </c>
      <c r="B2158" s="141" t="s">
        <v>1016</v>
      </c>
      <c r="C2158" s="141" t="s">
        <v>992</v>
      </c>
      <c r="D2158" s="141" t="s">
        <v>710</v>
      </c>
      <c r="E2158" s="141" t="s">
        <v>20</v>
      </c>
      <c r="F2158" s="160">
        <f>F2159</f>
        <v>80</v>
      </c>
      <c r="G2158" s="160">
        <f t="shared" si="553"/>
        <v>80</v>
      </c>
      <c r="H2158" s="131">
        <f t="shared" si="541"/>
        <v>100</v>
      </c>
    </row>
    <row r="2159" spans="1:11" ht="18.75" x14ac:dyDescent="0.2">
      <c r="A2159" s="157" t="s">
        <v>19</v>
      </c>
      <c r="B2159" s="141" t="s">
        <v>1016</v>
      </c>
      <c r="C2159" s="141" t="s">
        <v>992</v>
      </c>
      <c r="D2159" s="141" t="s">
        <v>710</v>
      </c>
      <c r="E2159" s="141" t="s">
        <v>21</v>
      </c>
      <c r="F2159" s="160">
        <f>F2160</f>
        <v>80</v>
      </c>
      <c r="G2159" s="160">
        <f t="shared" si="553"/>
        <v>80</v>
      </c>
      <c r="H2159" s="131">
        <f t="shared" si="541"/>
        <v>100</v>
      </c>
    </row>
    <row r="2160" spans="1:11" s="82" customFormat="1" ht="18.75" hidden="1" x14ac:dyDescent="0.2">
      <c r="A2160" s="28" t="s">
        <v>74</v>
      </c>
      <c r="B2160" s="2" t="s">
        <v>1016</v>
      </c>
      <c r="C2160" s="2" t="s">
        <v>992</v>
      </c>
      <c r="D2160" s="2" t="s">
        <v>710</v>
      </c>
      <c r="E2160" s="2" t="s">
        <v>75</v>
      </c>
      <c r="F2160" s="62">
        <f>100-20</f>
        <v>80</v>
      </c>
      <c r="G2160" s="62">
        <v>80</v>
      </c>
      <c r="H2160" s="97">
        <f t="shared" si="541"/>
        <v>100</v>
      </c>
    </row>
    <row r="2161" spans="1:9" ht="31.5" x14ac:dyDescent="0.2">
      <c r="A2161" s="132" t="s">
        <v>1099</v>
      </c>
      <c r="B2161" s="133">
        <v>11</v>
      </c>
      <c r="C2161" s="133" t="s">
        <v>992</v>
      </c>
      <c r="D2161" s="133" t="s">
        <v>252</v>
      </c>
      <c r="E2161" s="133"/>
      <c r="F2161" s="134">
        <f>F2167+F2192+F2203+F2162</f>
        <v>626291.19999999995</v>
      </c>
      <c r="G2161" s="134">
        <f>G2167+G2192+G2203+G2162</f>
        <v>613238.02833999996</v>
      </c>
      <c r="H2161" s="131">
        <f t="shared" si="541"/>
        <v>97.915798328317564</v>
      </c>
      <c r="I2161" s="96">
        <f>G2161-613238.02834</f>
        <v>0</v>
      </c>
    </row>
    <row r="2162" spans="1:9" ht="18.75" x14ac:dyDescent="0.2">
      <c r="A2162" s="132" t="s">
        <v>911</v>
      </c>
      <c r="B2162" s="133">
        <v>11</v>
      </c>
      <c r="C2162" s="133" t="s">
        <v>992</v>
      </c>
      <c r="D2162" s="133" t="s">
        <v>913</v>
      </c>
      <c r="E2162" s="141"/>
      <c r="F2162" s="164">
        <f>F2163</f>
        <v>37979.199999999997</v>
      </c>
      <c r="G2162" s="164">
        <f t="shared" ref="G2162:G2165" si="554">G2163</f>
        <v>25255.448919999999</v>
      </c>
      <c r="H2162" s="131">
        <f t="shared" si="541"/>
        <v>66.498106647849355</v>
      </c>
    </row>
    <row r="2163" spans="1:9" ht="31.5" x14ac:dyDescent="0.2">
      <c r="A2163" s="140" t="s">
        <v>915</v>
      </c>
      <c r="B2163" s="141">
        <v>11</v>
      </c>
      <c r="C2163" s="141" t="s">
        <v>992</v>
      </c>
      <c r="D2163" s="148" t="s">
        <v>916</v>
      </c>
      <c r="E2163" s="141"/>
      <c r="F2163" s="168">
        <f>F2164</f>
        <v>37979.199999999997</v>
      </c>
      <c r="G2163" s="168">
        <f t="shared" si="554"/>
        <v>25255.448919999999</v>
      </c>
      <c r="H2163" s="131">
        <f t="shared" si="541"/>
        <v>66.498106647849355</v>
      </c>
    </row>
    <row r="2164" spans="1:9" ht="31.5" x14ac:dyDescent="0.2">
      <c r="A2164" s="145" t="s">
        <v>299</v>
      </c>
      <c r="B2164" s="141">
        <v>11</v>
      </c>
      <c r="C2164" s="141" t="s">
        <v>992</v>
      </c>
      <c r="D2164" s="141" t="s">
        <v>916</v>
      </c>
      <c r="E2164" s="143" t="s">
        <v>34</v>
      </c>
      <c r="F2164" s="166">
        <f>F2165</f>
        <v>37979.199999999997</v>
      </c>
      <c r="G2164" s="166">
        <f t="shared" si="554"/>
        <v>25255.448919999999</v>
      </c>
      <c r="H2164" s="131">
        <f t="shared" si="541"/>
        <v>66.498106647849355</v>
      </c>
    </row>
    <row r="2165" spans="1:9" ht="18.75" x14ac:dyDescent="0.2">
      <c r="A2165" s="145" t="s">
        <v>33</v>
      </c>
      <c r="B2165" s="141">
        <v>11</v>
      </c>
      <c r="C2165" s="141" t="s">
        <v>992</v>
      </c>
      <c r="D2165" s="141" t="s">
        <v>916</v>
      </c>
      <c r="E2165" s="143" t="s">
        <v>129</v>
      </c>
      <c r="F2165" s="166">
        <f>F2166</f>
        <v>37979.199999999997</v>
      </c>
      <c r="G2165" s="166">
        <f t="shared" si="554"/>
        <v>25255.448919999999</v>
      </c>
      <c r="H2165" s="131">
        <f t="shared" si="541"/>
        <v>66.498106647849355</v>
      </c>
    </row>
    <row r="2166" spans="1:9" s="82" customFormat="1" ht="31.5" hidden="1" x14ac:dyDescent="0.2">
      <c r="A2166" s="3" t="s">
        <v>84</v>
      </c>
      <c r="B2166" s="2">
        <v>11</v>
      </c>
      <c r="C2166" s="2" t="s">
        <v>992</v>
      </c>
      <c r="D2166" s="2" t="s">
        <v>916</v>
      </c>
      <c r="E2166" s="33" t="s">
        <v>85</v>
      </c>
      <c r="F2166" s="36">
        <f>31699.2+10470-4190</f>
        <v>37979.199999999997</v>
      </c>
      <c r="G2166" s="21">
        <v>25255.448919999999</v>
      </c>
      <c r="H2166" s="97">
        <f t="shared" si="541"/>
        <v>66.498106647849355</v>
      </c>
    </row>
    <row r="2167" spans="1:9" ht="31.5" x14ac:dyDescent="0.2">
      <c r="A2167" s="154" t="s">
        <v>253</v>
      </c>
      <c r="B2167" s="133">
        <v>11</v>
      </c>
      <c r="C2167" s="133" t="s">
        <v>992</v>
      </c>
      <c r="D2167" s="133" t="s">
        <v>254</v>
      </c>
      <c r="E2167" s="170"/>
      <c r="F2167" s="134">
        <f>F2168+F2176+F2180+F2172+F2184+F2188</f>
        <v>316859</v>
      </c>
      <c r="G2167" s="134">
        <f>G2168+G2176+G2180+G2172+G2184+G2188</f>
        <v>316772.89794999996</v>
      </c>
      <c r="H2167" s="131">
        <f t="shared" si="541"/>
        <v>99.972826383344</v>
      </c>
    </row>
    <row r="2168" spans="1:9" ht="31.5" x14ac:dyDescent="0.2">
      <c r="A2168" s="155" t="s">
        <v>114</v>
      </c>
      <c r="B2168" s="148">
        <v>11</v>
      </c>
      <c r="C2168" s="148" t="s">
        <v>992</v>
      </c>
      <c r="D2168" s="148" t="s">
        <v>255</v>
      </c>
      <c r="E2168" s="311"/>
      <c r="F2168" s="144">
        <f t="shared" ref="F2168:G2170" si="555">F2169</f>
        <v>22030</v>
      </c>
      <c r="G2168" s="144">
        <f t="shared" si="555"/>
        <v>21967.70174</v>
      </c>
      <c r="H2168" s="131">
        <f t="shared" si="541"/>
        <v>99.717211711302767</v>
      </c>
    </row>
    <row r="2169" spans="1:9" ht="31.5" x14ac:dyDescent="0.2">
      <c r="A2169" s="157" t="s">
        <v>18</v>
      </c>
      <c r="B2169" s="141">
        <v>11</v>
      </c>
      <c r="C2169" s="141" t="s">
        <v>992</v>
      </c>
      <c r="D2169" s="141" t="s">
        <v>255</v>
      </c>
      <c r="E2169" s="143">
        <v>600</v>
      </c>
      <c r="F2169" s="147">
        <f t="shared" si="555"/>
        <v>22030</v>
      </c>
      <c r="G2169" s="147">
        <f t="shared" si="555"/>
        <v>21967.70174</v>
      </c>
      <c r="H2169" s="131">
        <f t="shared" si="541"/>
        <v>99.717211711302767</v>
      </c>
    </row>
    <row r="2170" spans="1:9" ht="18.75" x14ac:dyDescent="0.2">
      <c r="A2170" s="157" t="s">
        <v>115</v>
      </c>
      <c r="B2170" s="141">
        <v>11</v>
      </c>
      <c r="C2170" s="141" t="s">
        <v>992</v>
      </c>
      <c r="D2170" s="141" t="s">
        <v>255</v>
      </c>
      <c r="E2170" s="143" t="s">
        <v>21</v>
      </c>
      <c r="F2170" s="147">
        <f t="shared" si="555"/>
        <v>22030</v>
      </c>
      <c r="G2170" s="147">
        <f t="shared" si="555"/>
        <v>21967.70174</v>
      </c>
      <c r="H2170" s="131">
        <f t="shared" si="541"/>
        <v>99.717211711302767</v>
      </c>
    </row>
    <row r="2171" spans="1:9" s="82" customFormat="1" ht="18.75" hidden="1" x14ac:dyDescent="0.2">
      <c r="A2171" s="28" t="s">
        <v>74</v>
      </c>
      <c r="B2171" s="2">
        <v>11</v>
      </c>
      <c r="C2171" s="2" t="s">
        <v>992</v>
      </c>
      <c r="D2171" s="2" t="s">
        <v>255</v>
      </c>
      <c r="E2171" s="33" t="s">
        <v>75</v>
      </c>
      <c r="F2171" s="10">
        <f>14346-717+7874+8019-5900+3395-34+350-2508-3395+600</f>
        <v>22030</v>
      </c>
      <c r="G2171" s="10">
        <v>21967.70174</v>
      </c>
      <c r="H2171" s="97">
        <f t="shared" si="541"/>
        <v>99.717211711302767</v>
      </c>
    </row>
    <row r="2172" spans="1:9" ht="31.5" x14ac:dyDescent="0.2">
      <c r="A2172" s="140" t="s">
        <v>801</v>
      </c>
      <c r="B2172" s="148">
        <v>11</v>
      </c>
      <c r="C2172" s="148" t="s">
        <v>992</v>
      </c>
      <c r="D2172" s="148" t="s">
        <v>802</v>
      </c>
      <c r="E2172" s="149"/>
      <c r="F2172" s="168">
        <f t="shared" ref="F2172:G2174" si="556">F2173</f>
        <v>132</v>
      </c>
      <c r="G2172" s="168">
        <f t="shared" si="556"/>
        <v>131.44720000000001</v>
      </c>
      <c r="H2172" s="131">
        <f t="shared" si="541"/>
        <v>99.581212121212133</v>
      </c>
    </row>
    <row r="2173" spans="1:9" ht="31.5" x14ac:dyDescent="0.2">
      <c r="A2173" s="150" t="s">
        <v>299</v>
      </c>
      <c r="B2173" s="141">
        <v>11</v>
      </c>
      <c r="C2173" s="141" t="s">
        <v>992</v>
      </c>
      <c r="D2173" s="151" t="s">
        <v>802</v>
      </c>
      <c r="E2173" s="174" t="s">
        <v>34</v>
      </c>
      <c r="F2173" s="166">
        <f t="shared" si="556"/>
        <v>132</v>
      </c>
      <c r="G2173" s="166">
        <f t="shared" si="556"/>
        <v>131.44720000000001</v>
      </c>
      <c r="H2173" s="131">
        <f t="shared" si="541"/>
        <v>99.581212121212133</v>
      </c>
    </row>
    <row r="2174" spans="1:9" ht="18.75" x14ac:dyDescent="0.2">
      <c r="A2174" s="150" t="s">
        <v>33</v>
      </c>
      <c r="B2174" s="141">
        <v>11</v>
      </c>
      <c r="C2174" s="141" t="s">
        <v>992</v>
      </c>
      <c r="D2174" s="151" t="s">
        <v>802</v>
      </c>
      <c r="E2174" s="174" t="s">
        <v>129</v>
      </c>
      <c r="F2174" s="166">
        <f t="shared" si="556"/>
        <v>132</v>
      </c>
      <c r="G2174" s="166">
        <f t="shared" si="556"/>
        <v>131.44720000000001</v>
      </c>
      <c r="H2174" s="131">
        <f t="shared" si="541"/>
        <v>99.581212121212133</v>
      </c>
    </row>
    <row r="2175" spans="1:9" s="82" customFormat="1" ht="31.5" hidden="1" x14ac:dyDescent="0.2">
      <c r="A2175" s="19" t="s">
        <v>84</v>
      </c>
      <c r="B2175" s="2">
        <v>11</v>
      </c>
      <c r="C2175" s="2" t="s">
        <v>992</v>
      </c>
      <c r="D2175" s="5" t="s">
        <v>802</v>
      </c>
      <c r="E2175" s="38" t="s">
        <v>85</v>
      </c>
      <c r="F2175" s="36">
        <f>65348-25000+67-10470-29878+65</f>
        <v>132</v>
      </c>
      <c r="G2175" s="10">
        <v>131.44720000000001</v>
      </c>
      <c r="H2175" s="97">
        <f t="shared" si="541"/>
        <v>99.581212121212133</v>
      </c>
    </row>
    <row r="2176" spans="1:9" ht="18.75" x14ac:dyDescent="0.2">
      <c r="A2176" s="155" t="s">
        <v>446</v>
      </c>
      <c r="B2176" s="148">
        <v>11</v>
      </c>
      <c r="C2176" s="148" t="s">
        <v>992</v>
      </c>
      <c r="D2176" s="148" t="s">
        <v>411</v>
      </c>
      <c r="E2176" s="149"/>
      <c r="F2176" s="144">
        <f t="shared" ref="F2176:G2178" si="557">F2177</f>
        <v>282865</v>
      </c>
      <c r="G2176" s="144">
        <f t="shared" si="557"/>
        <v>282863.79496999999</v>
      </c>
      <c r="H2176" s="131">
        <f t="shared" si="541"/>
        <v>99.999573991126496</v>
      </c>
    </row>
    <row r="2177" spans="1:8" ht="31.5" x14ac:dyDescent="0.2">
      <c r="A2177" s="162" t="s">
        <v>299</v>
      </c>
      <c r="B2177" s="141">
        <v>11</v>
      </c>
      <c r="C2177" s="141" t="s">
        <v>992</v>
      </c>
      <c r="D2177" s="151" t="s">
        <v>411</v>
      </c>
      <c r="E2177" s="174" t="s">
        <v>34</v>
      </c>
      <c r="F2177" s="152">
        <f t="shared" si="557"/>
        <v>282865</v>
      </c>
      <c r="G2177" s="147">
        <f t="shared" si="557"/>
        <v>282863.79496999999</v>
      </c>
      <c r="H2177" s="131">
        <f t="shared" si="541"/>
        <v>99.999573991126496</v>
      </c>
    </row>
    <row r="2178" spans="1:8" ht="18.75" x14ac:dyDescent="0.2">
      <c r="A2178" s="162" t="s">
        <v>33</v>
      </c>
      <c r="B2178" s="141">
        <v>11</v>
      </c>
      <c r="C2178" s="141" t="s">
        <v>992</v>
      </c>
      <c r="D2178" s="151" t="s">
        <v>411</v>
      </c>
      <c r="E2178" s="174" t="s">
        <v>129</v>
      </c>
      <c r="F2178" s="152">
        <f t="shared" si="557"/>
        <v>282865</v>
      </c>
      <c r="G2178" s="147">
        <f t="shared" si="557"/>
        <v>282863.79496999999</v>
      </c>
      <c r="H2178" s="131">
        <f t="shared" si="541"/>
        <v>99.999573991126496</v>
      </c>
    </row>
    <row r="2179" spans="1:8" s="82" customFormat="1" ht="31.5" hidden="1" x14ac:dyDescent="0.2">
      <c r="A2179" s="27" t="s">
        <v>84</v>
      </c>
      <c r="B2179" s="2">
        <v>11</v>
      </c>
      <c r="C2179" s="2" t="s">
        <v>992</v>
      </c>
      <c r="D2179" s="5" t="s">
        <v>411</v>
      </c>
      <c r="E2179" s="38" t="s">
        <v>85</v>
      </c>
      <c r="F2179" s="84">
        <f>146000+142799+25476-31410</f>
        <v>282865</v>
      </c>
      <c r="G2179" s="10">
        <v>282863.79496999999</v>
      </c>
      <c r="H2179" s="97">
        <f t="shared" ref="H2179:H2225" si="558">G2179/F2179*100</f>
        <v>99.999573991126496</v>
      </c>
    </row>
    <row r="2180" spans="1:8" ht="31.5" x14ac:dyDescent="0.2">
      <c r="A2180" s="155" t="s">
        <v>506</v>
      </c>
      <c r="B2180" s="148">
        <v>11</v>
      </c>
      <c r="C2180" s="148" t="s">
        <v>992</v>
      </c>
      <c r="D2180" s="148" t="s">
        <v>507</v>
      </c>
      <c r="E2180" s="149"/>
      <c r="F2180" s="144">
        <f t="shared" ref="F2180:G2182" si="559">F2181</f>
        <v>2493</v>
      </c>
      <c r="G2180" s="144">
        <f t="shared" si="559"/>
        <v>2485.4998399999999</v>
      </c>
      <c r="H2180" s="131">
        <f t="shared" si="558"/>
        <v>99.699151223425588</v>
      </c>
    </row>
    <row r="2181" spans="1:8" ht="31.5" x14ac:dyDescent="0.2">
      <c r="A2181" s="162" t="s">
        <v>18</v>
      </c>
      <c r="B2181" s="141">
        <v>11</v>
      </c>
      <c r="C2181" s="141" t="s">
        <v>992</v>
      </c>
      <c r="D2181" s="141" t="s">
        <v>507</v>
      </c>
      <c r="E2181" s="174">
        <v>600</v>
      </c>
      <c r="F2181" s="152">
        <f t="shared" si="559"/>
        <v>2493</v>
      </c>
      <c r="G2181" s="147">
        <f t="shared" si="559"/>
        <v>2485.4998399999999</v>
      </c>
      <c r="H2181" s="131">
        <f t="shared" si="558"/>
        <v>99.699151223425588</v>
      </c>
    </row>
    <row r="2182" spans="1:8" ht="18.75" x14ac:dyDescent="0.2">
      <c r="A2182" s="162" t="s">
        <v>115</v>
      </c>
      <c r="B2182" s="141">
        <v>11</v>
      </c>
      <c r="C2182" s="141" t="s">
        <v>992</v>
      </c>
      <c r="D2182" s="141" t="s">
        <v>507</v>
      </c>
      <c r="E2182" s="174" t="s">
        <v>21</v>
      </c>
      <c r="F2182" s="152">
        <f t="shared" si="559"/>
        <v>2493</v>
      </c>
      <c r="G2182" s="147">
        <f t="shared" si="559"/>
        <v>2485.4998399999999</v>
      </c>
      <c r="H2182" s="131">
        <f t="shared" si="558"/>
        <v>99.699151223425588</v>
      </c>
    </row>
    <row r="2183" spans="1:8" s="82" customFormat="1" ht="18.75" hidden="1" x14ac:dyDescent="0.2">
      <c r="A2183" s="27" t="s">
        <v>74</v>
      </c>
      <c r="B2183" s="2">
        <v>11</v>
      </c>
      <c r="C2183" s="2" t="s">
        <v>992</v>
      </c>
      <c r="D2183" s="2" t="s">
        <v>507</v>
      </c>
      <c r="E2183" s="38" t="s">
        <v>75</v>
      </c>
      <c r="F2183" s="84">
        <f>6493-129-3-3868</f>
        <v>2493</v>
      </c>
      <c r="G2183" s="10">
        <v>2485.4998399999999</v>
      </c>
      <c r="H2183" s="97">
        <f t="shared" si="558"/>
        <v>99.699151223425588</v>
      </c>
    </row>
    <row r="2184" spans="1:8" ht="31.5" x14ac:dyDescent="0.2">
      <c r="A2184" s="140" t="s">
        <v>819</v>
      </c>
      <c r="B2184" s="141">
        <v>11</v>
      </c>
      <c r="C2184" s="141" t="s">
        <v>992</v>
      </c>
      <c r="D2184" s="141" t="s">
        <v>820</v>
      </c>
      <c r="E2184" s="174"/>
      <c r="F2184" s="152">
        <f>F2185</f>
        <v>2139</v>
      </c>
      <c r="G2184" s="152">
        <f t="shared" ref="G2184:G2186" si="560">G2185</f>
        <v>2138.99944</v>
      </c>
      <c r="H2184" s="131">
        <f t="shared" si="558"/>
        <v>99.99997381954185</v>
      </c>
    </row>
    <row r="2185" spans="1:8" ht="18.75" x14ac:dyDescent="0.2">
      <c r="A2185" s="145" t="s">
        <v>871</v>
      </c>
      <c r="B2185" s="141">
        <v>11</v>
      </c>
      <c r="C2185" s="141" t="s">
        <v>992</v>
      </c>
      <c r="D2185" s="141" t="s">
        <v>820</v>
      </c>
      <c r="E2185" s="141" t="s">
        <v>15</v>
      </c>
      <c r="F2185" s="152">
        <f>F2186</f>
        <v>2139</v>
      </c>
      <c r="G2185" s="152">
        <f t="shared" si="560"/>
        <v>2138.99944</v>
      </c>
      <c r="H2185" s="131">
        <f t="shared" si="558"/>
        <v>99.99997381954185</v>
      </c>
    </row>
    <row r="2186" spans="1:8" ht="31.5" x14ac:dyDescent="0.2">
      <c r="A2186" s="145" t="s">
        <v>17</v>
      </c>
      <c r="B2186" s="141">
        <v>11</v>
      </c>
      <c r="C2186" s="141" t="s">
        <v>992</v>
      </c>
      <c r="D2186" s="141" t="s">
        <v>820</v>
      </c>
      <c r="E2186" s="141" t="s">
        <v>16</v>
      </c>
      <c r="F2186" s="152">
        <f>F2187</f>
        <v>2139</v>
      </c>
      <c r="G2186" s="152">
        <f t="shared" si="560"/>
        <v>2138.99944</v>
      </c>
      <c r="H2186" s="131">
        <f t="shared" si="558"/>
        <v>99.99997381954185</v>
      </c>
    </row>
    <row r="2187" spans="1:8" s="82" customFormat="1" ht="18.75" hidden="1" x14ac:dyDescent="0.2">
      <c r="A2187" s="3" t="s">
        <v>549</v>
      </c>
      <c r="B2187" s="2">
        <v>11</v>
      </c>
      <c r="C2187" s="2" t="s">
        <v>992</v>
      </c>
      <c r="D2187" s="2" t="s">
        <v>820</v>
      </c>
      <c r="E2187" s="13" t="s">
        <v>67</v>
      </c>
      <c r="F2187" s="84">
        <f>25000-67-2616-20178</f>
        <v>2139</v>
      </c>
      <c r="G2187" s="84">
        <v>2138.99944</v>
      </c>
      <c r="H2187" s="97">
        <f t="shared" si="558"/>
        <v>99.99997381954185</v>
      </c>
    </row>
    <row r="2188" spans="1:8" ht="18.75" x14ac:dyDescent="0.2">
      <c r="A2188" s="140" t="s">
        <v>1139</v>
      </c>
      <c r="B2188" s="141">
        <v>11</v>
      </c>
      <c r="C2188" s="141" t="s">
        <v>992</v>
      </c>
      <c r="D2188" s="141" t="s">
        <v>1138</v>
      </c>
      <c r="E2188" s="171"/>
      <c r="F2188" s="312">
        <f>F2189</f>
        <v>7200</v>
      </c>
      <c r="G2188" s="312">
        <f t="shared" ref="G2188:G2190" si="561">G2189</f>
        <v>7185.4547599999996</v>
      </c>
      <c r="H2188" s="131">
        <f t="shared" si="558"/>
        <v>99.797982777777776</v>
      </c>
    </row>
    <row r="2189" spans="1:8" ht="31.5" x14ac:dyDescent="0.2">
      <c r="A2189" s="145" t="s">
        <v>18</v>
      </c>
      <c r="B2189" s="141">
        <v>11</v>
      </c>
      <c r="C2189" s="141" t="s">
        <v>992</v>
      </c>
      <c r="D2189" s="141" t="s">
        <v>1138</v>
      </c>
      <c r="E2189" s="171">
        <v>600</v>
      </c>
      <c r="F2189" s="312">
        <f>F2190</f>
        <v>7200</v>
      </c>
      <c r="G2189" s="312">
        <f t="shared" si="561"/>
        <v>7185.4547599999996</v>
      </c>
      <c r="H2189" s="131">
        <f t="shared" si="558"/>
        <v>99.797982777777776</v>
      </c>
    </row>
    <row r="2190" spans="1:8" ht="18.75" x14ac:dyDescent="0.2">
      <c r="A2190" s="145" t="s">
        <v>115</v>
      </c>
      <c r="B2190" s="141">
        <v>11</v>
      </c>
      <c r="C2190" s="141" t="s">
        <v>992</v>
      </c>
      <c r="D2190" s="141" t="s">
        <v>1138</v>
      </c>
      <c r="E2190" s="143" t="s">
        <v>21</v>
      </c>
      <c r="F2190" s="312">
        <f>F2191</f>
        <v>7200</v>
      </c>
      <c r="G2190" s="312">
        <f t="shared" si="561"/>
        <v>7185.4547599999996</v>
      </c>
      <c r="H2190" s="131">
        <f t="shared" si="558"/>
        <v>99.797982777777776</v>
      </c>
    </row>
    <row r="2191" spans="1:8" s="82" customFormat="1" ht="18.75" hidden="1" x14ac:dyDescent="0.2">
      <c r="A2191" s="3" t="s">
        <v>74</v>
      </c>
      <c r="B2191" s="2">
        <v>11</v>
      </c>
      <c r="C2191" s="2" t="s">
        <v>992</v>
      </c>
      <c r="D2191" s="2" t="s">
        <v>1138</v>
      </c>
      <c r="E2191" s="33" t="s">
        <v>75</v>
      </c>
      <c r="F2191" s="32">
        <v>7200</v>
      </c>
      <c r="G2191" s="10">
        <v>7185.4547599999996</v>
      </c>
      <c r="H2191" s="97">
        <f t="shared" si="558"/>
        <v>99.797982777777776</v>
      </c>
    </row>
    <row r="2192" spans="1:8" ht="31.5" x14ac:dyDescent="0.2">
      <c r="A2192" s="154" t="s">
        <v>256</v>
      </c>
      <c r="B2192" s="133">
        <v>11</v>
      </c>
      <c r="C2192" s="133" t="s">
        <v>992</v>
      </c>
      <c r="D2192" s="133" t="s">
        <v>257</v>
      </c>
      <c r="E2192" s="170"/>
      <c r="F2192" s="134">
        <f>F2197+F2193</f>
        <v>269453</v>
      </c>
      <c r="G2192" s="134">
        <f>G2197+G2193</f>
        <v>269297.66873999999</v>
      </c>
      <c r="H2192" s="131">
        <f t="shared" si="558"/>
        <v>99.9423531153856</v>
      </c>
    </row>
    <row r="2193" spans="1:8" ht="31.5" x14ac:dyDescent="0.2">
      <c r="A2193" s="140" t="s">
        <v>778</v>
      </c>
      <c r="B2193" s="141">
        <v>11</v>
      </c>
      <c r="C2193" s="141" t="s">
        <v>992</v>
      </c>
      <c r="D2193" s="148" t="s">
        <v>779</v>
      </c>
      <c r="E2193" s="149"/>
      <c r="F2193" s="183">
        <f t="shared" ref="F2193:G2195" si="562">F2194</f>
        <v>2477</v>
      </c>
      <c r="G2193" s="183">
        <f t="shared" si="562"/>
        <v>2321.6687400000001</v>
      </c>
      <c r="H2193" s="131">
        <f t="shared" si="558"/>
        <v>93.729056923698025</v>
      </c>
    </row>
    <row r="2194" spans="1:8" ht="31.5" x14ac:dyDescent="0.2">
      <c r="A2194" s="150" t="s">
        <v>18</v>
      </c>
      <c r="B2194" s="141">
        <v>11</v>
      </c>
      <c r="C2194" s="141" t="s">
        <v>992</v>
      </c>
      <c r="D2194" s="141" t="s">
        <v>779</v>
      </c>
      <c r="E2194" s="174">
        <v>600</v>
      </c>
      <c r="F2194" s="253">
        <f t="shared" si="562"/>
        <v>2477</v>
      </c>
      <c r="G2194" s="253">
        <f t="shared" si="562"/>
        <v>2321.6687400000001</v>
      </c>
      <c r="H2194" s="131">
        <f t="shared" si="558"/>
        <v>93.729056923698025</v>
      </c>
    </row>
    <row r="2195" spans="1:8" ht="18.75" x14ac:dyDescent="0.2">
      <c r="A2195" s="150" t="s">
        <v>115</v>
      </c>
      <c r="B2195" s="141">
        <v>11</v>
      </c>
      <c r="C2195" s="141" t="s">
        <v>992</v>
      </c>
      <c r="D2195" s="141" t="s">
        <v>779</v>
      </c>
      <c r="E2195" s="174" t="s">
        <v>21</v>
      </c>
      <c r="F2195" s="253">
        <f t="shared" si="562"/>
        <v>2477</v>
      </c>
      <c r="G2195" s="253">
        <f t="shared" si="562"/>
        <v>2321.6687400000001</v>
      </c>
      <c r="H2195" s="131">
        <f t="shared" si="558"/>
        <v>93.729056923698025</v>
      </c>
    </row>
    <row r="2196" spans="1:8" s="82" customFormat="1" ht="18.75" hidden="1" x14ac:dyDescent="0.2">
      <c r="A2196" s="19" t="s">
        <v>74</v>
      </c>
      <c r="B2196" s="2">
        <v>11</v>
      </c>
      <c r="C2196" s="2" t="s">
        <v>992</v>
      </c>
      <c r="D2196" s="2" t="s">
        <v>779</v>
      </c>
      <c r="E2196" s="38" t="s">
        <v>75</v>
      </c>
      <c r="F2196" s="63">
        <f>500+3390-90-1323</f>
        <v>2477</v>
      </c>
      <c r="G2196" s="10">
        <v>2321.6687400000001</v>
      </c>
      <c r="H2196" s="97">
        <f t="shared" si="558"/>
        <v>93.729056923698025</v>
      </c>
    </row>
    <row r="2197" spans="1:8" ht="31.5" x14ac:dyDescent="0.2">
      <c r="A2197" s="155" t="s">
        <v>290</v>
      </c>
      <c r="B2197" s="148">
        <v>11</v>
      </c>
      <c r="C2197" s="148" t="s">
        <v>992</v>
      </c>
      <c r="D2197" s="148" t="s">
        <v>259</v>
      </c>
      <c r="E2197" s="149"/>
      <c r="F2197" s="144">
        <f>F2198</f>
        <v>266976</v>
      </c>
      <c r="G2197" s="144">
        <f>G2198</f>
        <v>266976</v>
      </c>
      <c r="H2197" s="131">
        <f t="shared" si="558"/>
        <v>100</v>
      </c>
    </row>
    <row r="2198" spans="1:8" ht="31.5" x14ac:dyDescent="0.2">
      <c r="A2198" s="157" t="s">
        <v>18</v>
      </c>
      <c r="B2198" s="141">
        <v>11</v>
      </c>
      <c r="C2198" s="141" t="s">
        <v>992</v>
      </c>
      <c r="D2198" s="141" t="s">
        <v>259</v>
      </c>
      <c r="E2198" s="143" t="s">
        <v>20</v>
      </c>
      <c r="F2198" s="147">
        <f>F2199+F2201</f>
        <v>266976</v>
      </c>
      <c r="G2198" s="147">
        <f>G2199+G2201</f>
        <v>266976</v>
      </c>
      <c r="H2198" s="131">
        <f t="shared" si="558"/>
        <v>100</v>
      </c>
    </row>
    <row r="2199" spans="1:8" ht="18.75" x14ac:dyDescent="0.2">
      <c r="A2199" s="157" t="s">
        <v>24</v>
      </c>
      <c r="B2199" s="141">
        <v>11</v>
      </c>
      <c r="C2199" s="141" t="s">
        <v>992</v>
      </c>
      <c r="D2199" s="141" t="s">
        <v>259</v>
      </c>
      <c r="E2199" s="143" t="s">
        <v>25</v>
      </c>
      <c r="F2199" s="147">
        <f>F2200</f>
        <v>18909</v>
      </c>
      <c r="G2199" s="147">
        <f>G2200</f>
        <v>18909</v>
      </c>
      <c r="H2199" s="131">
        <f t="shared" si="558"/>
        <v>100</v>
      </c>
    </row>
    <row r="2200" spans="1:8" s="82" customFormat="1" ht="47.25" hidden="1" x14ac:dyDescent="0.2">
      <c r="A2200" s="28" t="s">
        <v>88</v>
      </c>
      <c r="B2200" s="2">
        <v>11</v>
      </c>
      <c r="C2200" s="2" t="s">
        <v>992</v>
      </c>
      <c r="D2200" s="2" t="s">
        <v>259</v>
      </c>
      <c r="E2200" s="33" t="s">
        <v>89</v>
      </c>
      <c r="F2200" s="10">
        <f>19907-998</f>
        <v>18909</v>
      </c>
      <c r="G2200" s="10">
        <v>18909</v>
      </c>
      <c r="H2200" s="97">
        <f t="shared" si="558"/>
        <v>100</v>
      </c>
    </row>
    <row r="2201" spans="1:8" ht="18.75" x14ac:dyDescent="0.2">
      <c r="A2201" s="157" t="s">
        <v>19</v>
      </c>
      <c r="B2201" s="141">
        <v>11</v>
      </c>
      <c r="C2201" s="141" t="s">
        <v>992</v>
      </c>
      <c r="D2201" s="141" t="s">
        <v>259</v>
      </c>
      <c r="E2201" s="143" t="s">
        <v>21</v>
      </c>
      <c r="F2201" s="147">
        <f>F2202</f>
        <v>248067</v>
      </c>
      <c r="G2201" s="147">
        <f>G2202</f>
        <v>248067</v>
      </c>
      <c r="H2201" s="131">
        <f t="shared" si="558"/>
        <v>100</v>
      </c>
    </row>
    <row r="2202" spans="1:8" s="82" customFormat="1" ht="47.25" hidden="1" x14ac:dyDescent="0.2">
      <c r="A2202" s="3" t="s">
        <v>297</v>
      </c>
      <c r="B2202" s="2">
        <v>11</v>
      </c>
      <c r="C2202" s="2" t="s">
        <v>992</v>
      </c>
      <c r="D2202" s="2" t="s">
        <v>259</v>
      </c>
      <c r="E2202" s="33" t="s">
        <v>91</v>
      </c>
      <c r="F2202" s="10">
        <f>226919-4658-1500+33975+2900-6000+8232-795-3349-3569-4088</f>
        <v>248067</v>
      </c>
      <c r="G2202" s="10">
        <v>248067</v>
      </c>
      <c r="H2202" s="97">
        <f t="shared" si="558"/>
        <v>100</v>
      </c>
    </row>
    <row r="2203" spans="1:8" ht="47.25" x14ac:dyDescent="0.2">
      <c r="A2203" s="154" t="s">
        <v>260</v>
      </c>
      <c r="B2203" s="133">
        <v>11</v>
      </c>
      <c r="C2203" s="133" t="s">
        <v>992</v>
      </c>
      <c r="D2203" s="133" t="s">
        <v>261</v>
      </c>
      <c r="E2203" s="170"/>
      <c r="F2203" s="134">
        <f t="shared" ref="F2203:G2206" si="563">F2204</f>
        <v>2000</v>
      </c>
      <c r="G2203" s="134">
        <f t="shared" si="563"/>
        <v>1912.0127299999999</v>
      </c>
      <c r="H2203" s="131">
        <f t="shared" si="558"/>
        <v>95.600636499999993</v>
      </c>
    </row>
    <row r="2204" spans="1:8" ht="31.5" x14ac:dyDescent="0.2">
      <c r="A2204" s="155" t="s">
        <v>262</v>
      </c>
      <c r="B2204" s="148">
        <v>11</v>
      </c>
      <c r="C2204" s="148" t="s">
        <v>992</v>
      </c>
      <c r="D2204" s="148" t="s">
        <v>263</v>
      </c>
      <c r="E2204" s="149"/>
      <c r="F2204" s="144">
        <f t="shared" si="563"/>
        <v>2000</v>
      </c>
      <c r="G2204" s="144">
        <f t="shared" si="563"/>
        <v>1912.0127299999999</v>
      </c>
      <c r="H2204" s="131">
        <f t="shared" si="558"/>
        <v>95.600636499999993</v>
      </c>
    </row>
    <row r="2205" spans="1:8" ht="31.5" x14ac:dyDescent="0.2">
      <c r="A2205" s="157" t="s">
        <v>18</v>
      </c>
      <c r="B2205" s="141">
        <v>11</v>
      </c>
      <c r="C2205" s="141" t="s">
        <v>992</v>
      </c>
      <c r="D2205" s="141" t="s">
        <v>263</v>
      </c>
      <c r="E2205" s="143" t="s">
        <v>20</v>
      </c>
      <c r="F2205" s="147">
        <f t="shared" si="563"/>
        <v>2000</v>
      </c>
      <c r="G2205" s="147">
        <f t="shared" si="563"/>
        <v>1912.0127299999999</v>
      </c>
      <c r="H2205" s="131">
        <f t="shared" si="558"/>
        <v>95.600636499999993</v>
      </c>
    </row>
    <row r="2206" spans="1:8" ht="31.5" x14ac:dyDescent="0.2">
      <c r="A2206" s="157" t="s">
        <v>26</v>
      </c>
      <c r="B2206" s="141">
        <v>11</v>
      </c>
      <c r="C2206" s="141" t="s">
        <v>992</v>
      </c>
      <c r="D2206" s="141" t="s">
        <v>263</v>
      </c>
      <c r="E2206" s="143" t="s">
        <v>0</v>
      </c>
      <c r="F2206" s="147">
        <f t="shared" si="563"/>
        <v>2000</v>
      </c>
      <c r="G2206" s="147">
        <f t="shared" si="563"/>
        <v>1912.0127299999999</v>
      </c>
      <c r="H2206" s="131">
        <f t="shared" si="558"/>
        <v>95.600636499999993</v>
      </c>
    </row>
    <row r="2207" spans="1:8" s="82" customFormat="1" ht="31.5" hidden="1" x14ac:dyDescent="0.2">
      <c r="A2207" s="3" t="s">
        <v>875</v>
      </c>
      <c r="B2207" s="2">
        <v>11</v>
      </c>
      <c r="C2207" s="2" t="s">
        <v>992</v>
      </c>
      <c r="D2207" s="2" t="s">
        <v>263</v>
      </c>
      <c r="E2207" s="33" t="s">
        <v>472</v>
      </c>
      <c r="F2207" s="10">
        <v>2000</v>
      </c>
      <c r="G2207" s="10">
        <v>1912.0127299999999</v>
      </c>
      <c r="H2207" s="97">
        <f t="shared" si="558"/>
        <v>95.600636499999993</v>
      </c>
    </row>
    <row r="2208" spans="1:8" ht="18.75" x14ac:dyDescent="0.2">
      <c r="A2208" s="132" t="s">
        <v>1100</v>
      </c>
      <c r="B2208" s="161" t="s">
        <v>1016</v>
      </c>
      <c r="C2208" s="133" t="s">
        <v>990</v>
      </c>
      <c r="D2208" s="141"/>
      <c r="E2208" s="143"/>
      <c r="F2208" s="134">
        <f>F2221+F2209</f>
        <v>25905</v>
      </c>
      <c r="G2208" s="134">
        <f>G2221+G2209</f>
        <v>25658.174890000002</v>
      </c>
      <c r="H2208" s="131">
        <f t="shared" si="558"/>
        <v>99.0471912372129</v>
      </c>
    </row>
    <row r="2209" spans="1:8" ht="31.5" x14ac:dyDescent="0.2">
      <c r="A2209" s="132" t="s">
        <v>1078</v>
      </c>
      <c r="B2209" s="133" t="s">
        <v>1016</v>
      </c>
      <c r="C2209" s="133" t="s">
        <v>990</v>
      </c>
      <c r="D2209" s="133" t="s">
        <v>178</v>
      </c>
      <c r="E2209" s="133"/>
      <c r="F2209" s="134">
        <f>F2210</f>
        <v>2774</v>
      </c>
      <c r="G2209" s="134">
        <f t="shared" ref="G2209:G2211" si="564">G2210</f>
        <v>2736.1414</v>
      </c>
      <c r="H2209" s="131">
        <f t="shared" si="558"/>
        <v>98.635234318673398</v>
      </c>
    </row>
    <row r="2210" spans="1:8" ht="18.75" x14ac:dyDescent="0.2">
      <c r="A2210" s="135" t="s">
        <v>329</v>
      </c>
      <c r="B2210" s="136" t="s">
        <v>1016</v>
      </c>
      <c r="C2210" s="136" t="s">
        <v>990</v>
      </c>
      <c r="D2210" s="137" t="s">
        <v>331</v>
      </c>
      <c r="E2210" s="136"/>
      <c r="F2210" s="138">
        <f>F2211</f>
        <v>2774</v>
      </c>
      <c r="G2210" s="138">
        <f t="shared" si="564"/>
        <v>2736.1414</v>
      </c>
      <c r="H2210" s="131">
        <f t="shared" si="558"/>
        <v>98.635234318673398</v>
      </c>
    </row>
    <row r="2211" spans="1:8" ht="47.25" x14ac:dyDescent="0.2">
      <c r="A2211" s="132" t="s">
        <v>332</v>
      </c>
      <c r="B2211" s="133" t="s">
        <v>1016</v>
      </c>
      <c r="C2211" s="133" t="s">
        <v>990</v>
      </c>
      <c r="D2211" s="139" t="s">
        <v>330</v>
      </c>
      <c r="E2211" s="136"/>
      <c r="F2211" s="134">
        <f>F2212</f>
        <v>2774</v>
      </c>
      <c r="G2211" s="134">
        <f t="shared" si="564"/>
        <v>2736.1414</v>
      </c>
      <c r="H2211" s="131">
        <f t="shared" si="558"/>
        <v>98.635234318673398</v>
      </c>
    </row>
    <row r="2212" spans="1:8" ht="63" x14ac:dyDescent="0.2">
      <c r="A2212" s="140" t="s">
        <v>435</v>
      </c>
      <c r="B2212" s="141" t="s">
        <v>1016</v>
      </c>
      <c r="C2212" s="141" t="s">
        <v>990</v>
      </c>
      <c r="D2212" s="142" t="s">
        <v>333</v>
      </c>
      <c r="E2212" s="143"/>
      <c r="F2212" s="144">
        <f>F2213+F2216</f>
        <v>2774</v>
      </c>
      <c r="G2212" s="144">
        <f t="shared" ref="G2212" si="565">G2213+G2216</f>
        <v>2736.1414</v>
      </c>
      <c r="H2212" s="131">
        <f t="shared" si="558"/>
        <v>98.635234318673398</v>
      </c>
    </row>
    <row r="2213" spans="1:8" ht="18.75" x14ac:dyDescent="0.2">
      <c r="A2213" s="145" t="s">
        <v>871</v>
      </c>
      <c r="B2213" s="141" t="s">
        <v>1016</v>
      </c>
      <c r="C2213" s="141" t="s">
        <v>990</v>
      </c>
      <c r="D2213" s="141" t="s">
        <v>333</v>
      </c>
      <c r="E2213" s="141" t="s">
        <v>15</v>
      </c>
      <c r="F2213" s="147">
        <f>F2214</f>
        <v>100</v>
      </c>
      <c r="G2213" s="147">
        <f t="shared" ref="G2213:G2214" si="566">G2214</f>
        <v>100</v>
      </c>
      <c r="H2213" s="131">
        <f t="shared" si="558"/>
        <v>100</v>
      </c>
    </row>
    <row r="2214" spans="1:8" ht="31.5" x14ac:dyDescent="0.2">
      <c r="A2214" s="145" t="s">
        <v>17</v>
      </c>
      <c r="B2214" s="141" t="s">
        <v>1016</v>
      </c>
      <c r="C2214" s="141" t="s">
        <v>990</v>
      </c>
      <c r="D2214" s="141" t="s">
        <v>333</v>
      </c>
      <c r="E2214" s="141" t="s">
        <v>16</v>
      </c>
      <c r="F2214" s="147">
        <f>F2215</f>
        <v>100</v>
      </c>
      <c r="G2214" s="147">
        <f t="shared" si="566"/>
        <v>100</v>
      </c>
      <c r="H2214" s="131">
        <f t="shared" si="558"/>
        <v>100</v>
      </c>
    </row>
    <row r="2215" spans="1:8" s="82" customFormat="1" ht="18.75" hidden="1" x14ac:dyDescent="0.2">
      <c r="A2215" s="3" t="s">
        <v>549</v>
      </c>
      <c r="B2215" s="2" t="s">
        <v>1016</v>
      </c>
      <c r="C2215" s="2" t="s">
        <v>990</v>
      </c>
      <c r="D2215" s="2" t="s">
        <v>333</v>
      </c>
      <c r="E2215" s="13" t="s">
        <v>67</v>
      </c>
      <c r="F2215" s="10">
        <v>100</v>
      </c>
      <c r="G2215" s="10">
        <v>100</v>
      </c>
      <c r="H2215" s="97">
        <f t="shared" si="558"/>
        <v>100</v>
      </c>
    </row>
    <row r="2216" spans="1:8" ht="31.5" x14ac:dyDescent="0.2">
      <c r="A2216" s="145" t="s">
        <v>18</v>
      </c>
      <c r="B2216" s="141" t="s">
        <v>1016</v>
      </c>
      <c r="C2216" s="141" t="s">
        <v>990</v>
      </c>
      <c r="D2216" s="141" t="s">
        <v>333</v>
      </c>
      <c r="E2216" s="143" t="s">
        <v>20</v>
      </c>
      <c r="F2216" s="147">
        <f>+F2217+F2219</f>
        <v>2674</v>
      </c>
      <c r="G2216" s="147">
        <f t="shared" ref="G2216" si="567">+G2217+G2219</f>
        <v>2636.1414</v>
      </c>
      <c r="H2216" s="131">
        <f t="shared" si="558"/>
        <v>98.584195961106957</v>
      </c>
    </row>
    <row r="2217" spans="1:8" ht="18.75" x14ac:dyDescent="0.2">
      <c r="A2217" s="157" t="s">
        <v>19</v>
      </c>
      <c r="B2217" s="141" t="s">
        <v>1016</v>
      </c>
      <c r="C2217" s="141" t="s">
        <v>990</v>
      </c>
      <c r="D2217" s="141" t="s">
        <v>333</v>
      </c>
      <c r="E2217" s="143" t="s">
        <v>21</v>
      </c>
      <c r="F2217" s="147">
        <f>F2218</f>
        <v>1863</v>
      </c>
      <c r="G2217" s="147">
        <f t="shared" ref="G2217" si="568">G2218</f>
        <v>1826.1414</v>
      </c>
      <c r="H2217" s="131">
        <f t="shared" si="558"/>
        <v>98.021545893719804</v>
      </c>
    </row>
    <row r="2218" spans="1:8" s="82" customFormat="1" ht="18.75" hidden="1" x14ac:dyDescent="0.2">
      <c r="A2218" s="28" t="s">
        <v>74</v>
      </c>
      <c r="B2218" s="2" t="s">
        <v>1016</v>
      </c>
      <c r="C2218" s="2" t="s">
        <v>990</v>
      </c>
      <c r="D2218" s="2" t="s">
        <v>333</v>
      </c>
      <c r="E2218" s="33" t="s">
        <v>75</v>
      </c>
      <c r="F2218" s="10">
        <f>3897-527-1507</f>
        <v>1863</v>
      </c>
      <c r="G2218" s="10">
        <v>1826.1414</v>
      </c>
      <c r="H2218" s="97">
        <f t="shared" si="558"/>
        <v>98.021545893719804</v>
      </c>
    </row>
    <row r="2219" spans="1:8" ht="31.5" x14ac:dyDescent="0.2">
      <c r="A2219" s="157" t="s">
        <v>26</v>
      </c>
      <c r="B2219" s="141" t="s">
        <v>1016</v>
      </c>
      <c r="C2219" s="141" t="s">
        <v>990</v>
      </c>
      <c r="D2219" s="141" t="s">
        <v>333</v>
      </c>
      <c r="E2219" s="143" t="s">
        <v>0</v>
      </c>
      <c r="F2219" s="147">
        <f>F2220</f>
        <v>811</v>
      </c>
      <c r="G2219" s="147">
        <f>G2220</f>
        <v>810</v>
      </c>
      <c r="H2219" s="131">
        <f t="shared" si="558"/>
        <v>99.8766954377312</v>
      </c>
    </row>
    <row r="2220" spans="1:8" s="82" customFormat="1" ht="47.25" hidden="1" x14ac:dyDescent="0.2">
      <c r="A2220" s="23" t="s">
        <v>873</v>
      </c>
      <c r="B2220" s="2" t="s">
        <v>1016</v>
      </c>
      <c r="C2220" s="2" t="s">
        <v>990</v>
      </c>
      <c r="D2220" s="2" t="s">
        <v>333</v>
      </c>
      <c r="E2220" s="33" t="s">
        <v>471</v>
      </c>
      <c r="F2220" s="10">
        <f>1620-809</f>
        <v>811</v>
      </c>
      <c r="G2220" s="10">
        <v>810</v>
      </c>
      <c r="H2220" s="97">
        <f t="shared" si="558"/>
        <v>99.8766954377312</v>
      </c>
    </row>
    <row r="2221" spans="1:8" ht="31.5" x14ac:dyDescent="0.2">
      <c r="A2221" s="132" t="s">
        <v>1101</v>
      </c>
      <c r="B2221" s="133" t="s">
        <v>1016</v>
      </c>
      <c r="C2221" s="133" t="s">
        <v>990</v>
      </c>
      <c r="D2221" s="133" t="s">
        <v>252</v>
      </c>
      <c r="E2221" s="133"/>
      <c r="F2221" s="134">
        <f>F2230+F2252+F2222</f>
        <v>23131</v>
      </c>
      <c r="G2221" s="134">
        <f>G2230+G2252+G2222</f>
        <v>22922.033490000002</v>
      </c>
      <c r="H2221" s="131">
        <f t="shared" si="558"/>
        <v>99.096595434698031</v>
      </c>
    </row>
    <row r="2222" spans="1:8" ht="31.5" x14ac:dyDescent="0.2">
      <c r="A2222" s="154" t="s">
        <v>253</v>
      </c>
      <c r="B2222" s="133" t="s">
        <v>1016</v>
      </c>
      <c r="C2222" s="133" t="s">
        <v>990</v>
      </c>
      <c r="D2222" s="133" t="s">
        <v>254</v>
      </c>
      <c r="E2222" s="141"/>
      <c r="F2222" s="134">
        <f>F2223</f>
        <v>7970</v>
      </c>
      <c r="G2222" s="134">
        <f>G2223</f>
        <v>7919.9643599999999</v>
      </c>
      <c r="H2222" s="131">
        <f t="shared" si="558"/>
        <v>99.37220025094102</v>
      </c>
    </row>
    <row r="2223" spans="1:8" ht="18.75" x14ac:dyDescent="0.2">
      <c r="A2223" s="155" t="s">
        <v>504</v>
      </c>
      <c r="B2223" s="148">
        <v>11</v>
      </c>
      <c r="C2223" s="148" t="s">
        <v>990</v>
      </c>
      <c r="D2223" s="148" t="s">
        <v>505</v>
      </c>
      <c r="E2223" s="149"/>
      <c r="F2223" s="144">
        <f>F2227+F2224</f>
        <v>7970</v>
      </c>
      <c r="G2223" s="144">
        <f t="shared" ref="G2223" si="569">G2227+G2224</f>
        <v>7919.9643599999999</v>
      </c>
      <c r="H2223" s="131">
        <f t="shared" si="558"/>
        <v>99.37220025094102</v>
      </c>
    </row>
    <row r="2224" spans="1:8" ht="18.75" x14ac:dyDescent="0.2">
      <c r="A2224" s="145" t="s">
        <v>871</v>
      </c>
      <c r="B2224" s="148">
        <v>11</v>
      </c>
      <c r="C2224" s="148" t="s">
        <v>990</v>
      </c>
      <c r="D2224" s="148" t="s">
        <v>505</v>
      </c>
      <c r="E2224" s="149" t="s">
        <v>15</v>
      </c>
      <c r="F2224" s="168">
        <f>F2225</f>
        <v>50</v>
      </c>
      <c r="G2224" s="168">
        <f t="shared" ref="G2224:G2225" si="570">G2225</f>
        <v>0</v>
      </c>
      <c r="H2224" s="131">
        <f t="shared" si="558"/>
        <v>0</v>
      </c>
    </row>
    <row r="2225" spans="1:8" ht="31.5" x14ac:dyDescent="0.2">
      <c r="A2225" s="145" t="s">
        <v>17</v>
      </c>
      <c r="B2225" s="148">
        <v>11</v>
      </c>
      <c r="C2225" s="148" t="s">
        <v>990</v>
      </c>
      <c r="D2225" s="148" t="s">
        <v>505</v>
      </c>
      <c r="E2225" s="149" t="s">
        <v>16</v>
      </c>
      <c r="F2225" s="168">
        <f>F2226</f>
        <v>50</v>
      </c>
      <c r="G2225" s="168">
        <f t="shared" si="570"/>
        <v>0</v>
      </c>
      <c r="H2225" s="131">
        <f t="shared" si="558"/>
        <v>0</v>
      </c>
    </row>
    <row r="2226" spans="1:8" s="82" customFormat="1" ht="18.75" hidden="1" x14ac:dyDescent="0.2">
      <c r="A2226" s="3" t="s">
        <v>549</v>
      </c>
      <c r="B2226" s="12">
        <v>11</v>
      </c>
      <c r="C2226" s="12" t="s">
        <v>990</v>
      </c>
      <c r="D2226" s="12" t="s">
        <v>505</v>
      </c>
      <c r="E2226" s="40" t="s">
        <v>67</v>
      </c>
      <c r="F2226" s="35">
        <v>50</v>
      </c>
      <c r="G2226" s="18">
        <v>0</v>
      </c>
      <c r="H2226" s="97">
        <f t="shared" ref="H2226:H2276" si="571">G2226/F2226*100</f>
        <v>0</v>
      </c>
    </row>
    <row r="2227" spans="1:8" ht="31.5" x14ac:dyDescent="0.2">
      <c r="A2227" s="157" t="s">
        <v>18</v>
      </c>
      <c r="B2227" s="141">
        <v>11</v>
      </c>
      <c r="C2227" s="141" t="s">
        <v>990</v>
      </c>
      <c r="D2227" s="148" t="s">
        <v>505</v>
      </c>
      <c r="E2227" s="143">
        <v>600</v>
      </c>
      <c r="F2227" s="147">
        <f t="shared" ref="F2227:G2228" si="572">F2228</f>
        <v>7920</v>
      </c>
      <c r="G2227" s="147">
        <f t="shared" si="572"/>
        <v>7919.9643599999999</v>
      </c>
      <c r="H2227" s="131">
        <f t="shared" si="571"/>
        <v>99.999549999999999</v>
      </c>
    </row>
    <row r="2228" spans="1:8" ht="18.75" x14ac:dyDescent="0.2">
      <c r="A2228" s="157" t="s">
        <v>115</v>
      </c>
      <c r="B2228" s="141">
        <v>11</v>
      </c>
      <c r="C2228" s="141" t="s">
        <v>990</v>
      </c>
      <c r="D2228" s="148" t="s">
        <v>505</v>
      </c>
      <c r="E2228" s="143" t="s">
        <v>21</v>
      </c>
      <c r="F2228" s="147">
        <f t="shared" si="572"/>
        <v>7920</v>
      </c>
      <c r="G2228" s="147">
        <f t="shared" si="572"/>
        <v>7919.9643599999999</v>
      </c>
      <c r="H2228" s="131">
        <f t="shared" si="571"/>
        <v>99.999549999999999</v>
      </c>
    </row>
    <row r="2229" spans="1:8" s="82" customFormat="1" ht="18.75" hidden="1" x14ac:dyDescent="0.2">
      <c r="A2229" s="28" t="s">
        <v>74</v>
      </c>
      <c r="B2229" s="2">
        <v>11</v>
      </c>
      <c r="C2229" s="2" t="s">
        <v>990</v>
      </c>
      <c r="D2229" s="12" t="s">
        <v>505</v>
      </c>
      <c r="E2229" s="33" t="s">
        <v>75</v>
      </c>
      <c r="F2229" s="10">
        <f>7000-5000+6000-80</f>
        <v>7920</v>
      </c>
      <c r="G2229" s="10">
        <v>7919.9643599999999</v>
      </c>
      <c r="H2229" s="97">
        <f t="shared" si="571"/>
        <v>99.999549999999999</v>
      </c>
    </row>
    <row r="2230" spans="1:8" ht="31.5" x14ac:dyDescent="0.2">
      <c r="A2230" s="154" t="s">
        <v>256</v>
      </c>
      <c r="B2230" s="161" t="s">
        <v>1016</v>
      </c>
      <c r="C2230" s="133" t="s">
        <v>990</v>
      </c>
      <c r="D2230" s="133" t="s">
        <v>257</v>
      </c>
      <c r="E2230" s="170"/>
      <c r="F2230" s="134">
        <f>F2231+F2240+F2244+F2248</f>
        <v>14861</v>
      </c>
      <c r="G2230" s="313">
        <f t="shared" ref="G2230" si="573">G2231+G2240+G2244+G2248</f>
        <v>14802.06913</v>
      </c>
      <c r="H2230" s="131">
        <f t="shared" si="571"/>
        <v>99.603452863198967</v>
      </c>
    </row>
    <row r="2231" spans="1:8" ht="18.75" x14ac:dyDescent="0.2">
      <c r="A2231" s="155" t="s">
        <v>412</v>
      </c>
      <c r="B2231" s="190" t="s">
        <v>1016</v>
      </c>
      <c r="C2231" s="148" t="s">
        <v>990</v>
      </c>
      <c r="D2231" s="148" t="s">
        <v>258</v>
      </c>
      <c r="E2231" s="149"/>
      <c r="F2231" s="144">
        <f>F2232+F2235</f>
        <v>12679</v>
      </c>
      <c r="G2231" s="144">
        <f>G2232+G2235</f>
        <v>12651.60313</v>
      </c>
      <c r="H2231" s="131">
        <f t="shared" si="571"/>
        <v>99.783919315403423</v>
      </c>
    </row>
    <row r="2232" spans="1:8" ht="18.75" x14ac:dyDescent="0.2">
      <c r="A2232" s="157" t="s">
        <v>871</v>
      </c>
      <c r="B2232" s="171" t="s">
        <v>1016</v>
      </c>
      <c r="C2232" s="141" t="s">
        <v>990</v>
      </c>
      <c r="D2232" s="141" t="s">
        <v>258</v>
      </c>
      <c r="E2232" s="143" t="s">
        <v>15</v>
      </c>
      <c r="F2232" s="147">
        <f t="shared" ref="F2232:G2233" si="574">F2233</f>
        <v>1995</v>
      </c>
      <c r="G2232" s="147">
        <f t="shared" si="574"/>
        <v>1980.05</v>
      </c>
      <c r="H2232" s="131">
        <f t="shared" si="571"/>
        <v>99.250626566416031</v>
      </c>
    </row>
    <row r="2233" spans="1:8" ht="31.5" x14ac:dyDescent="0.2">
      <c r="A2233" s="157" t="s">
        <v>17</v>
      </c>
      <c r="B2233" s="171" t="s">
        <v>1016</v>
      </c>
      <c r="C2233" s="141" t="s">
        <v>990</v>
      </c>
      <c r="D2233" s="141" t="s">
        <v>258</v>
      </c>
      <c r="E2233" s="143" t="s">
        <v>16</v>
      </c>
      <c r="F2233" s="147">
        <f t="shared" si="574"/>
        <v>1995</v>
      </c>
      <c r="G2233" s="147">
        <f t="shared" si="574"/>
        <v>1980.05</v>
      </c>
      <c r="H2233" s="131">
        <f t="shared" si="571"/>
        <v>99.250626566416031</v>
      </c>
    </row>
    <row r="2234" spans="1:8" s="82" customFormat="1" ht="18.75" hidden="1" x14ac:dyDescent="0.2">
      <c r="A2234" s="3" t="s">
        <v>548</v>
      </c>
      <c r="B2234" s="13" t="s">
        <v>1016</v>
      </c>
      <c r="C2234" s="2" t="s">
        <v>990</v>
      </c>
      <c r="D2234" s="2" t="s">
        <v>258</v>
      </c>
      <c r="E2234" s="33" t="s">
        <v>67</v>
      </c>
      <c r="F2234" s="10">
        <f>2400-400-5</f>
        <v>1995</v>
      </c>
      <c r="G2234" s="10">
        <v>1980.05</v>
      </c>
      <c r="H2234" s="97">
        <f t="shared" si="571"/>
        <v>99.250626566416031</v>
      </c>
    </row>
    <row r="2235" spans="1:8" ht="31.5" x14ac:dyDescent="0.2">
      <c r="A2235" s="157" t="s">
        <v>18</v>
      </c>
      <c r="B2235" s="171" t="s">
        <v>1016</v>
      </c>
      <c r="C2235" s="141" t="s">
        <v>990</v>
      </c>
      <c r="D2235" s="141" t="s">
        <v>258</v>
      </c>
      <c r="E2235" s="143" t="s">
        <v>20</v>
      </c>
      <c r="F2235" s="147">
        <f>F2238+F2236</f>
        <v>10684</v>
      </c>
      <c r="G2235" s="147">
        <f t="shared" ref="G2235" si="575">G2238+G2236</f>
        <v>10671.55313</v>
      </c>
      <c r="H2235" s="131">
        <f t="shared" si="571"/>
        <v>99.883499906402093</v>
      </c>
    </row>
    <row r="2236" spans="1:8" ht="18.75" x14ac:dyDescent="0.2">
      <c r="A2236" s="157" t="s">
        <v>24</v>
      </c>
      <c r="B2236" s="171" t="s">
        <v>1016</v>
      </c>
      <c r="C2236" s="141" t="s">
        <v>990</v>
      </c>
      <c r="D2236" s="141" t="s">
        <v>258</v>
      </c>
      <c r="E2236" s="143" t="s">
        <v>25</v>
      </c>
      <c r="F2236" s="147">
        <f>F2237</f>
        <v>400</v>
      </c>
      <c r="G2236" s="147">
        <f t="shared" ref="G2236" si="576">G2237</f>
        <v>399.99990000000003</v>
      </c>
      <c r="H2236" s="131">
        <f t="shared" si="571"/>
        <v>99.999975000000006</v>
      </c>
    </row>
    <row r="2237" spans="1:8" s="82" customFormat="1" ht="18.75" hidden="1" x14ac:dyDescent="0.2">
      <c r="A2237" s="28" t="s">
        <v>72</v>
      </c>
      <c r="B2237" s="13" t="s">
        <v>1016</v>
      </c>
      <c r="C2237" s="2" t="s">
        <v>990</v>
      </c>
      <c r="D2237" s="2" t="s">
        <v>258</v>
      </c>
      <c r="E2237" s="33" t="s">
        <v>73</v>
      </c>
      <c r="F2237" s="10">
        <v>400</v>
      </c>
      <c r="G2237" s="10">
        <v>399.99990000000003</v>
      </c>
      <c r="H2237" s="97">
        <f t="shared" si="571"/>
        <v>99.999975000000006</v>
      </c>
    </row>
    <row r="2238" spans="1:8" ht="18.75" x14ac:dyDescent="0.2">
      <c r="A2238" s="157" t="s">
        <v>19</v>
      </c>
      <c r="B2238" s="171" t="s">
        <v>1016</v>
      </c>
      <c r="C2238" s="141" t="s">
        <v>990</v>
      </c>
      <c r="D2238" s="141" t="s">
        <v>258</v>
      </c>
      <c r="E2238" s="143" t="s">
        <v>21</v>
      </c>
      <c r="F2238" s="147">
        <f>F2239</f>
        <v>10284</v>
      </c>
      <c r="G2238" s="147">
        <f>G2239</f>
        <v>10271.55323</v>
      </c>
      <c r="H2238" s="131">
        <f t="shared" si="571"/>
        <v>99.878969564371829</v>
      </c>
    </row>
    <row r="2239" spans="1:8" s="82" customFormat="1" ht="18.75" hidden="1" x14ac:dyDescent="0.2">
      <c r="A2239" s="28" t="s">
        <v>74</v>
      </c>
      <c r="B2239" s="13" t="s">
        <v>1016</v>
      </c>
      <c r="C2239" s="2" t="s">
        <v>990</v>
      </c>
      <c r="D2239" s="2" t="s">
        <v>258</v>
      </c>
      <c r="E2239" s="33" t="s">
        <v>75</v>
      </c>
      <c r="F2239" s="10">
        <f>8896+90+9501-8203</f>
        <v>10284</v>
      </c>
      <c r="G2239" s="10">
        <v>10271.55323</v>
      </c>
      <c r="H2239" s="97">
        <f t="shared" si="571"/>
        <v>99.878969564371829</v>
      </c>
    </row>
    <row r="2240" spans="1:8" ht="31.5" x14ac:dyDescent="0.2">
      <c r="A2240" s="155" t="s">
        <v>602</v>
      </c>
      <c r="B2240" s="190" t="s">
        <v>1016</v>
      </c>
      <c r="C2240" s="148" t="s">
        <v>990</v>
      </c>
      <c r="D2240" s="148" t="s">
        <v>603</v>
      </c>
      <c r="E2240" s="149"/>
      <c r="F2240" s="144">
        <f t="shared" ref="F2240:G2242" si="577">F2241</f>
        <v>1440</v>
      </c>
      <c r="G2240" s="144">
        <f t="shared" si="577"/>
        <v>1440</v>
      </c>
      <c r="H2240" s="131">
        <f t="shared" si="571"/>
        <v>100</v>
      </c>
    </row>
    <row r="2241" spans="1:8" ht="31.5" x14ac:dyDescent="0.2">
      <c r="A2241" s="157" t="s">
        <v>18</v>
      </c>
      <c r="B2241" s="171" t="s">
        <v>1016</v>
      </c>
      <c r="C2241" s="141" t="s">
        <v>990</v>
      </c>
      <c r="D2241" s="141" t="s">
        <v>603</v>
      </c>
      <c r="E2241" s="143" t="s">
        <v>20</v>
      </c>
      <c r="F2241" s="147">
        <f t="shared" si="577"/>
        <v>1440</v>
      </c>
      <c r="G2241" s="147">
        <f t="shared" si="577"/>
        <v>1440</v>
      </c>
      <c r="H2241" s="131">
        <f t="shared" si="571"/>
        <v>100</v>
      </c>
    </row>
    <row r="2242" spans="1:8" ht="31.5" x14ac:dyDescent="0.2">
      <c r="A2242" s="157" t="s">
        <v>26</v>
      </c>
      <c r="B2242" s="171" t="s">
        <v>1016</v>
      </c>
      <c r="C2242" s="141" t="s">
        <v>990</v>
      </c>
      <c r="D2242" s="141" t="s">
        <v>603</v>
      </c>
      <c r="E2242" s="143" t="s">
        <v>0</v>
      </c>
      <c r="F2242" s="147">
        <f t="shared" si="577"/>
        <v>1440</v>
      </c>
      <c r="G2242" s="147">
        <f t="shared" si="577"/>
        <v>1440</v>
      </c>
      <c r="H2242" s="131">
        <f t="shared" si="571"/>
        <v>100</v>
      </c>
    </row>
    <row r="2243" spans="1:8" s="82" customFormat="1" ht="31.5" hidden="1" x14ac:dyDescent="0.2">
      <c r="A2243" s="3" t="s">
        <v>875</v>
      </c>
      <c r="B2243" s="13" t="s">
        <v>1016</v>
      </c>
      <c r="C2243" s="2" t="s">
        <v>990</v>
      </c>
      <c r="D2243" s="2" t="s">
        <v>603</v>
      </c>
      <c r="E2243" s="33" t="s">
        <v>472</v>
      </c>
      <c r="F2243" s="10">
        <v>1440</v>
      </c>
      <c r="G2243" s="10">
        <v>1440</v>
      </c>
      <c r="H2243" s="97">
        <f t="shared" si="571"/>
        <v>100</v>
      </c>
    </row>
    <row r="2244" spans="1:8" ht="31.5" x14ac:dyDescent="0.2">
      <c r="A2244" s="140" t="s">
        <v>917</v>
      </c>
      <c r="B2244" s="190" t="s">
        <v>1016</v>
      </c>
      <c r="C2244" s="148" t="s">
        <v>990</v>
      </c>
      <c r="D2244" s="148" t="s">
        <v>942</v>
      </c>
      <c r="E2244" s="143"/>
      <c r="F2244" s="168">
        <f>F2245</f>
        <v>628</v>
      </c>
      <c r="G2244" s="168">
        <f t="shared" ref="G2244:G2246" si="578">G2245</f>
        <v>628</v>
      </c>
      <c r="H2244" s="131">
        <f t="shared" si="571"/>
        <v>100</v>
      </c>
    </row>
    <row r="2245" spans="1:8" ht="31.5" x14ac:dyDescent="0.2">
      <c r="A2245" s="145" t="s">
        <v>18</v>
      </c>
      <c r="B2245" s="171" t="s">
        <v>1016</v>
      </c>
      <c r="C2245" s="141" t="s">
        <v>990</v>
      </c>
      <c r="D2245" s="141" t="s">
        <v>942</v>
      </c>
      <c r="E2245" s="143" t="s">
        <v>20</v>
      </c>
      <c r="F2245" s="166">
        <f>F2246</f>
        <v>628</v>
      </c>
      <c r="G2245" s="166">
        <f t="shared" si="578"/>
        <v>628</v>
      </c>
      <c r="H2245" s="131">
        <f t="shared" si="571"/>
        <v>100</v>
      </c>
    </row>
    <row r="2246" spans="1:8" ht="31.5" x14ac:dyDescent="0.2">
      <c r="A2246" s="145" t="s">
        <v>26</v>
      </c>
      <c r="B2246" s="171" t="s">
        <v>1016</v>
      </c>
      <c r="C2246" s="141" t="s">
        <v>990</v>
      </c>
      <c r="D2246" s="141" t="s">
        <v>942</v>
      </c>
      <c r="E2246" s="143" t="s">
        <v>0</v>
      </c>
      <c r="F2246" s="166">
        <f>F2247</f>
        <v>628</v>
      </c>
      <c r="G2246" s="166">
        <f t="shared" si="578"/>
        <v>628</v>
      </c>
      <c r="H2246" s="131">
        <f t="shared" si="571"/>
        <v>100</v>
      </c>
    </row>
    <row r="2247" spans="1:8" s="82" customFormat="1" ht="31.5" hidden="1" x14ac:dyDescent="0.2">
      <c r="A2247" s="3" t="s">
        <v>918</v>
      </c>
      <c r="B2247" s="13" t="s">
        <v>1016</v>
      </c>
      <c r="C2247" s="2" t="s">
        <v>990</v>
      </c>
      <c r="D2247" s="2" t="s">
        <v>942</v>
      </c>
      <c r="E2247" s="33" t="s">
        <v>472</v>
      </c>
      <c r="F2247" s="36">
        <v>628</v>
      </c>
      <c r="G2247" s="36">
        <v>628</v>
      </c>
      <c r="H2247" s="97">
        <f t="shared" si="571"/>
        <v>100</v>
      </c>
    </row>
    <row r="2248" spans="1:8" ht="18.75" x14ac:dyDescent="0.2">
      <c r="A2248" s="140" t="s">
        <v>1134</v>
      </c>
      <c r="B2248" s="171" t="s">
        <v>1016</v>
      </c>
      <c r="C2248" s="141" t="s">
        <v>990</v>
      </c>
      <c r="D2248" s="141" t="s">
        <v>1133</v>
      </c>
      <c r="E2248" s="143"/>
      <c r="F2248" s="312">
        <f>F2249</f>
        <v>114</v>
      </c>
      <c r="G2248" s="312">
        <f t="shared" ref="G2248:G2250" si="579">G2249</f>
        <v>82.465999999999994</v>
      </c>
      <c r="H2248" s="131">
        <f t="shared" si="571"/>
        <v>72.338596491228074</v>
      </c>
    </row>
    <row r="2249" spans="1:8" ht="31.5" x14ac:dyDescent="0.2">
      <c r="A2249" s="157" t="s">
        <v>18</v>
      </c>
      <c r="B2249" s="171" t="s">
        <v>1016</v>
      </c>
      <c r="C2249" s="141" t="s">
        <v>990</v>
      </c>
      <c r="D2249" s="141" t="s">
        <v>1133</v>
      </c>
      <c r="E2249" s="174">
        <v>600</v>
      </c>
      <c r="F2249" s="312">
        <f>F2250</f>
        <v>114</v>
      </c>
      <c r="G2249" s="312">
        <f t="shared" si="579"/>
        <v>82.465999999999994</v>
      </c>
      <c r="H2249" s="131">
        <f t="shared" si="571"/>
        <v>72.338596491228074</v>
      </c>
    </row>
    <row r="2250" spans="1:8" ht="18.75" x14ac:dyDescent="0.2">
      <c r="A2250" s="157" t="s">
        <v>19</v>
      </c>
      <c r="B2250" s="171" t="s">
        <v>1016</v>
      </c>
      <c r="C2250" s="141" t="s">
        <v>990</v>
      </c>
      <c r="D2250" s="141" t="s">
        <v>1133</v>
      </c>
      <c r="E2250" s="174" t="s">
        <v>21</v>
      </c>
      <c r="F2250" s="312">
        <f>F2251</f>
        <v>114</v>
      </c>
      <c r="G2250" s="312">
        <f t="shared" si="579"/>
        <v>82.465999999999994</v>
      </c>
      <c r="H2250" s="131">
        <f t="shared" si="571"/>
        <v>72.338596491228074</v>
      </c>
    </row>
    <row r="2251" spans="1:8" s="82" customFormat="1" ht="18.75" hidden="1" x14ac:dyDescent="0.2">
      <c r="A2251" s="28" t="s">
        <v>74</v>
      </c>
      <c r="B2251" s="13" t="s">
        <v>1016</v>
      </c>
      <c r="C2251" s="2" t="s">
        <v>990</v>
      </c>
      <c r="D2251" s="2" t="s">
        <v>1133</v>
      </c>
      <c r="E2251" s="38" t="s">
        <v>75</v>
      </c>
      <c r="F2251" s="32">
        <v>114</v>
      </c>
      <c r="G2251" s="32">
        <v>82.465999999999994</v>
      </c>
      <c r="H2251" s="97">
        <f t="shared" si="571"/>
        <v>72.338596491228074</v>
      </c>
    </row>
    <row r="2252" spans="1:8" ht="47.25" x14ac:dyDescent="0.2">
      <c r="A2252" s="154" t="s">
        <v>260</v>
      </c>
      <c r="B2252" s="161" t="s">
        <v>1016</v>
      </c>
      <c r="C2252" s="133" t="s">
        <v>990</v>
      </c>
      <c r="D2252" s="133" t="s">
        <v>261</v>
      </c>
      <c r="E2252" s="170"/>
      <c r="F2252" s="134">
        <f t="shared" ref="F2252:G2255" si="580">F2253</f>
        <v>300</v>
      </c>
      <c r="G2252" s="134">
        <f t="shared" si="580"/>
        <v>200</v>
      </c>
      <c r="H2252" s="131">
        <f t="shared" si="571"/>
        <v>66.666666666666657</v>
      </c>
    </row>
    <row r="2253" spans="1:8" ht="31.5" x14ac:dyDescent="0.2">
      <c r="A2253" s="155" t="s">
        <v>262</v>
      </c>
      <c r="B2253" s="190" t="s">
        <v>1016</v>
      </c>
      <c r="C2253" s="148" t="s">
        <v>990</v>
      </c>
      <c r="D2253" s="148" t="s">
        <v>263</v>
      </c>
      <c r="E2253" s="149"/>
      <c r="F2253" s="144">
        <f t="shared" si="580"/>
        <v>300</v>
      </c>
      <c r="G2253" s="144">
        <f t="shared" si="580"/>
        <v>200</v>
      </c>
      <c r="H2253" s="131">
        <f t="shared" si="571"/>
        <v>66.666666666666657</v>
      </c>
    </row>
    <row r="2254" spans="1:8" ht="31.5" x14ac:dyDescent="0.2">
      <c r="A2254" s="157" t="s">
        <v>18</v>
      </c>
      <c r="B2254" s="171" t="s">
        <v>1016</v>
      </c>
      <c r="C2254" s="141" t="s">
        <v>990</v>
      </c>
      <c r="D2254" s="141" t="s">
        <v>263</v>
      </c>
      <c r="E2254" s="143" t="s">
        <v>20</v>
      </c>
      <c r="F2254" s="147">
        <f t="shared" si="580"/>
        <v>300</v>
      </c>
      <c r="G2254" s="147">
        <f t="shared" si="580"/>
        <v>200</v>
      </c>
      <c r="H2254" s="131">
        <f t="shared" si="571"/>
        <v>66.666666666666657</v>
      </c>
    </row>
    <row r="2255" spans="1:8" ht="18.75" x14ac:dyDescent="0.2">
      <c r="A2255" s="157" t="s">
        <v>19</v>
      </c>
      <c r="B2255" s="171" t="s">
        <v>1016</v>
      </c>
      <c r="C2255" s="141" t="s">
        <v>990</v>
      </c>
      <c r="D2255" s="141" t="s">
        <v>263</v>
      </c>
      <c r="E2255" s="143" t="s">
        <v>21</v>
      </c>
      <c r="F2255" s="147">
        <f t="shared" si="580"/>
        <v>300</v>
      </c>
      <c r="G2255" s="147">
        <f t="shared" si="580"/>
        <v>200</v>
      </c>
      <c r="H2255" s="131">
        <f t="shared" si="571"/>
        <v>66.666666666666657</v>
      </c>
    </row>
    <row r="2256" spans="1:8" s="82" customFormat="1" ht="18.75" hidden="1" x14ac:dyDescent="0.2">
      <c r="A2256" s="28" t="s">
        <v>74</v>
      </c>
      <c r="B2256" s="13" t="s">
        <v>1016</v>
      </c>
      <c r="C2256" s="2" t="s">
        <v>990</v>
      </c>
      <c r="D2256" s="2" t="s">
        <v>263</v>
      </c>
      <c r="E2256" s="33" t="s">
        <v>75</v>
      </c>
      <c r="F2256" s="10">
        <v>300</v>
      </c>
      <c r="G2256" s="10">
        <v>200</v>
      </c>
      <c r="H2256" s="97">
        <f t="shared" si="571"/>
        <v>66.666666666666657</v>
      </c>
    </row>
    <row r="2257" spans="1:9" ht="18.75" x14ac:dyDescent="0.2">
      <c r="A2257" s="132" t="s">
        <v>1102</v>
      </c>
      <c r="B2257" s="133" t="s">
        <v>1016</v>
      </c>
      <c r="C2257" s="133" t="s">
        <v>994</v>
      </c>
      <c r="D2257" s="133"/>
      <c r="E2257" s="133"/>
      <c r="F2257" s="134">
        <f>F2258</f>
        <v>185043.62</v>
      </c>
      <c r="G2257" s="134">
        <f t="shared" ref="G2257" si="581">G2258</f>
        <v>184533.99813999998</v>
      </c>
      <c r="H2257" s="131">
        <f t="shared" si="571"/>
        <v>99.724593660673079</v>
      </c>
      <c r="I2257" s="96"/>
    </row>
    <row r="2258" spans="1:9" ht="31.5" x14ac:dyDescent="0.2">
      <c r="A2258" s="132" t="s">
        <v>890</v>
      </c>
      <c r="B2258" s="133" t="s">
        <v>1016</v>
      </c>
      <c r="C2258" s="133" t="s">
        <v>994</v>
      </c>
      <c r="D2258" s="133" t="s">
        <v>252</v>
      </c>
      <c r="E2258" s="133"/>
      <c r="F2258" s="134">
        <f>F2264+F2288+F2259</f>
        <v>185043.62</v>
      </c>
      <c r="G2258" s="134">
        <f>G2264+G2288+G2259</f>
        <v>184533.99813999998</v>
      </c>
      <c r="H2258" s="131">
        <f t="shared" si="571"/>
        <v>99.724593660673079</v>
      </c>
    </row>
    <row r="2259" spans="1:9" ht="18.75" x14ac:dyDescent="0.2">
      <c r="A2259" s="132" t="s">
        <v>911</v>
      </c>
      <c r="B2259" s="133" t="s">
        <v>1016</v>
      </c>
      <c r="C2259" s="133" t="s">
        <v>994</v>
      </c>
      <c r="D2259" s="133" t="s">
        <v>913</v>
      </c>
      <c r="E2259" s="141"/>
      <c r="F2259" s="164">
        <f>F2260</f>
        <v>8719.6200000000008</v>
      </c>
      <c r="G2259" s="164">
        <f t="shared" ref="G2259:G2262" si="582">G2260</f>
        <v>8719.61</v>
      </c>
      <c r="H2259" s="131">
        <f t="shared" si="571"/>
        <v>99.999885316103217</v>
      </c>
    </row>
    <row r="2260" spans="1:9" ht="31.5" x14ac:dyDescent="0.2">
      <c r="A2260" s="140" t="s">
        <v>912</v>
      </c>
      <c r="B2260" s="148" t="s">
        <v>1016</v>
      </c>
      <c r="C2260" s="148" t="s">
        <v>994</v>
      </c>
      <c r="D2260" s="148" t="s">
        <v>914</v>
      </c>
      <c r="E2260" s="141"/>
      <c r="F2260" s="166">
        <f>F2261</f>
        <v>8719.6200000000008</v>
      </c>
      <c r="G2260" s="166">
        <f t="shared" si="582"/>
        <v>8719.61</v>
      </c>
      <c r="H2260" s="131">
        <f t="shared" si="571"/>
        <v>99.999885316103217</v>
      </c>
    </row>
    <row r="2261" spans="1:9" ht="31.5" x14ac:dyDescent="0.2">
      <c r="A2261" s="157" t="s">
        <v>18</v>
      </c>
      <c r="B2261" s="141" t="s">
        <v>1016</v>
      </c>
      <c r="C2261" s="141" t="s">
        <v>994</v>
      </c>
      <c r="D2261" s="141" t="s">
        <v>914</v>
      </c>
      <c r="E2261" s="143" t="s">
        <v>20</v>
      </c>
      <c r="F2261" s="166">
        <f>F2262</f>
        <v>8719.6200000000008</v>
      </c>
      <c r="G2261" s="166">
        <f t="shared" si="582"/>
        <v>8719.61</v>
      </c>
      <c r="H2261" s="131">
        <f t="shared" si="571"/>
        <v>99.999885316103217</v>
      </c>
    </row>
    <row r="2262" spans="1:9" ht="18.75" x14ac:dyDescent="0.2">
      <c r="A2262" s="157" t="s">
        <v>24</v>
      </c>
      <c r="B2262" s="141" t="s">
        <v>1016</v>
      </c>
      <c r="C2262" s="141" t="s">
        <v>994</v>
      </c>
      <c r="D2262" s="141" t="s">
        <v>914</v>
      </c>
      <c r="E2262" s="141" t="s">
        <v>25</v>
      </c>
      <c r="F2262" s="166">
        <f>F2263</f>
        <v>8719.6200000000008</v>
      </c>
      <c r="G2262" s="166">
        <f t="shared" si="582"/>
        <v>8719.61</v>
      </c>
      <c r="H2262" s="131">
        <f t="shared" si="571"/>
        <v>99.999885316103217</v>
      </c>
    </row>
    <row r="2263" spans="1:9" s="82" customFormat="1" ht="18.75" hidden="1" x14ac:dyDescent="0.2">
      <c r="A2263" s="28" t="s">
        <v>72</v>
      </c>
      <c r="B2263" s="2" t="s">
        <v>1016</v>
      </c>
      <c r="C2263" s="2" t="s">
        <v>994</v>
      </c>
      <c r="D2263" s="2" t="s">
        <v>914</v>
      </c>
      <c r="E2263" s="33" t="s">
        <v>73</v>
      </c>
      <c r="F2263" s="36">
        <f>4041.53+1347.19+3330.89+0.01</f>
        <v>8719.6200000000008</v>
      </c>
      <c r="G2263" s="21">
        <v>8719.61</v>
      </c>
      <c r="H2263" s="97">
        <f t="shared" si="571"/>
        <v>99.999885316103217</v>
      </c>
    </row>
    <row r="2264" spans="1:9" ht="31.5" x14ac:dyDescent="0.2">
      <c r="A2264" s="154" t="s">
        <v>264</v>
      </c>
      <c r="B2264" s="133" t="s">
        <v>1016</v>
      </c>
      <c r="C2264" s="133" t="s">
        <v>994</v>
      </c>
      <c r="D2264" s="133" t="s">
        <v>265</v>
      </c>
      <c r="E2264" s="170"/>
      <c r="F2264" s="134">
        <f>F2265+F2276+F2284</f>
        <v>78963</v>
      </c>
      <c r="G2264" s="134">
        <f>G2265+G2276+G2284</f>
        <v>78508.192980000007</v>
      </c>
      <c r="H2264" s="131">
        <f t="shared" si="571"/>
        <v>99.424025151020118</v>
      </c>
    </row>
    <row r="2265" spans="1:9" ht="47.25" x14ac:dyDescent="0.2">
      <c r="A2265" s="155" t="s">
        <v>266</v>
      </c>
      <c r="B2265" s="148" t="s">
        <v>1016</v>
      </c>
      <c r="C2265" s="148" t="s">
        <v>994</v>
      </c>
      <c r="D2265" s="148" t="s">
        <v>267</v>
      </c>
      <c r="E2265" s="149"/>
      <c r="F2265" s="147">
        <f>F2266+F2271+F2269</f>
        <v>44315</v>
      </c>
      <c r="G2265" s="147">
        <f t="shared" ref="G2265" si="583">G2266+G2271+G2269</f>
        <v>43914.852980000003</v>
      </c>
      <c r="H2265" s="131">
        <f t="shared" si="571"/>
        <v>99.097039332054621</v>
      </c>
    </row>
    <row r="2266" spans="1:9" ht="18.75" x14ac:dyDescent="0.2">
      <c r="A2266" s="157" t="s">
        <v>871</v>
      </c>
      <c r="B2266" s="141" t="s">
        <v>1016</v>
      </c>
      <c r="C2266" s="141" t="s">
        <v>994</v>
      </c>
      <c r="D2266" s="141" t="s">
        <v>267</v>
      </c>
      <c r="E2266" s="141" t="s">
        <v>15</v>
      </c>
      <c r="F2266" s="144">
        <f t="shared" ref="F2266:G2267" si="584">F2267</f>
        <v>3</v>
      </c>
      <c r="G2266" s="144">
        <f t="shared" si="584"/>
        <v>1.6652100000000001</v>
      </c>
      <c r="H2266" s="131">
        <f t="shared" si="571"/>
        <v>55.507000000000005</v>
      </c>
    </row>
    <row r="2267" spans="1:9" ht="31.5" x14ac:dyDescent="0.2">
      <c r="A2267" s="157" t="s">
        <v>17</v>
      </c>
      <c r="B2267" s="141" t="s">
        <v>1016</v>
      </c>
      <c r="C2267" s="141" t="s">
        <v>994</v>
      </c>
      <c r="D2267" s="141" t="s">
        <v>267</v>
      </c>
      <c r="E2267" s="141" t="s">
        <v>16</v>
      </c>
      <c r="F2267" s="144">
        <f t="shared" si="584"/>
        <v>3</v>
      </c>
      <c r="G2267" s="144">
        <f t="shared" si="584"/>
        <v>1.6652100000000001</v>
      </c>
      <c r="H2267" s="131">
        <f t="shared" si="571"/>
        <v>55.507000000000005</v>
      </c>
    </row>
    <row r="2268" spans="1:9" s="82" customFormat="1" ht="18.75" hidden="1" x14ac:dyDescent="0.2">
      <c r="A2268" s="3" t="s">
        <v>548</v>
      </c>
      <c r="B2268" s="2" t="s">
        <v>1016</v>
      </c>
      <c r="C2268" s="2" t="s">
        <v>994</v>
      </c>
      <c r="D2268" s="2" t="s">
        <v>267</v>
      </c>
      <c r="E2268" s="13" t="s">
        <v>67</v>
      </c>
      <c r="F2268" s="10">
        <f>420-417</f>
        <v>3</v>
      </c>
      <c r="G2268" s="10">
        <v>1.6652100000000001</v>
      </c>
      <c r="H2268" s="97">
        <f t="shared" si="571"/>
        <v>55.507000000000005</v>
      </c>
    </row>
    <row r="2269" spans="1:9" ht="18.75" x14ac:dyDescent="0.2">
      <c r="A2269" s="145" t="s">
        <v>22</v>
      </c>
      <c r="B2269" s="141" t="s">
        <v>1016</v>
      </c>
      <c r="C2269" s="141" t="s">
        <v>994</v>
      </c>
      <c r="D2269" s="141" t="s">
        <v>267</v>
      </c>
      <c r="E2269" s="171" t="s">
        <v>23</v>
      </c>
      <c r="F2269" s="147">
        <f>F2270</f>
        <v>417</v>
      </c>
      <c r="G2269" s="147">
        <f t="shared" ref="G2269" si="585">G2270</f>
        <v>382.8</v>
      </c>
      <c r="H2269" s="131">
        <f t="shared" si="571"/>
        <v>91.798561151079141</v>
      </c>
    </row>
    <row r="2270" spans="1:9" ht="18.75" x14ac:dyDescent="0.2">
      <c r="A2270" s="145" t="s">
        <v>448</v>
      </c>
      <c r="B2270" s="141" t="s">
        <v>1016</v>
      </c>
      <c r="C2270" s="141" t="s">
        <v>994</v>
      </c>
      <c r="D2270" s="141" t="s">
        <v>267</v>
      </c>
      <c r="E2270" s="171" t="s">
        <v>447</v>
      </c>
      <c r="F2270" s="147">
        <v>417</v>
      </c>
      <c r="G2270" s="147">
        <v>382.8</v>
      </c>
      <c r="H2270" s="131">
        <f t="shared" si="571"/>
        <v>91.798561151079141</v>
      </c>
    </row>
    <row r="2271" spans="1:9" ht="31.5" x14ac:dyDescent="0.2">
      <c r="A2271" s="157" t="s">
        <v>18</v>
      </c>
      <c r="B2271" s="141" t="s">
        <v>1016</v>
      </c>
      <c r="C2271" s="141" t="s">
        <v>994</v>
      </c>
      <c r="D2271" s="141" t="s">
        <v>267</v>
      </c>
      <c r="E2271" s="143" t="s">
        <v>20</v>
      </c>
      <c r="F2271" s="147">
        <f>F2272+F2274</f>
        <v>43895</v>
      </c>
      <c r="G2271" s="147">
        <f>G2272+G2274</f>
        <v>43530.387770000001</v>
      </c>
      <c r="H2271" s="131">
        <f t="shared" si="571"/>
        <v>99.169353616585028</v>
      </c>
    </row>
    <row r="2272" spans="1:9" ht="18.75" x14ac:dyDescent="0.2">
      <c r="A2272" s="157" t="s">
        <v>19</v>
      </c>
      <c r="B2272" s="141" t="s">
        <v>1016</v>
      </c>
      <c r="C2272" s="141" t="s">
        <v>994</v>
      </c>
      <c r="D2272" s="141" t="s">
        <v>267</v>
      </c>
      <c r="E2272" s="143" t="s">
        <v>21</v>
      </c>
      <c r="F2272" s="147">
        <f>F2273</f>
        <v>1630</v>
      </c>
      <c r="G2272" s="147">
        <f>G2273</f>
        <v>1595.0329999999999</v>
      </c>
      <c r="H2272" s="131">
        <f t="shared" si="571"/>
        <v>97.854785276073613</v>
      </c>
    </row>
    <row r="2273" spans="1:8" s="82" customFormat="1" ht="18.75" hidden="1" x14ac:dyDescent="0.2">
      <c r="A2273" s="28" t="s">
        <v>74</v>
      </c>
      <c r="B2273" s="2" t="s">
        <v>1016</v>
      </c>
      <c r="C2273" s="2" t="s">
        <v>994</v>
      </c>
      <c r="D2273" s="2" t="s">
        <v>267</v>
      </c>
      <c r="E2273" s="33" t="s">
        <v>75</v>
      </c>
      <c r="F2273" s="10">
        <f>1500-628+758</f>
        <v>1630</v>
      </c>
      <c r="G2273" s="10">
        <v>1595.0329999999999</v>
      </c>
      <c r="H2273" s="97">
        <f t="shared" si="571"/>
        <v>97.854785276073613</v>
      </c>
    </row>
    <row r="2274" spans="1:8" ht="31.5" x14ac:dyDescent="0.2">
      <c r="A2274" s="157" t="s">
        <v>26</v>
      </c>
      <c r="B2274" s="141" t="s">
        <v>1016</v>
      </c>
      <c r="C2274" s="141" t="s">
        <v>994</v>
      </c>
      <c r="D2274" s="141" t="s">
        <v>267</v>
      </c>
      <c r="E2274" s="143" t="s">
        <v>0</v>
      </c>
      <c r="F2274" s="147">
        <f>F2275</f>
        <v>42265</v>
      </c>
      <c r="G2274" s="147">
        <f>G2275</f>
        <v>41935.354769999998</v>
      </c>
      <c r="H2274" s="131">
        <f t="shared" si="571"/>
        <v>99.220051508340234</v>
      </c>
    </row>
    <row r="2275" spans="1:8" s="82" customFormat="1" ht="31.5" hidden="1" x14ac:dyDescent="0.2">
      <c r="A2275" s="3" t="s">
        <v>875</v>
      </c>
      <c r="B2275" s="2" t="s">
        <v>1016</v>
      </c>
      <c r="C2275" s="2" t="s">
        <v>994</v>
      </c>
      <c r="D2275" s="2" t="s">
        <v>267</v>
      </c>
      <c r="E2275" s="33" t="s">
        <v>472</v>
      </c>
      <c r="F2275" s="10">
        <f>15390+10479+8400+1400+3500-253+3349</f>
        <v>42265</v>
      </c>
      <c r="G2275" s="10">
        <f>286.04618+41649.30859</f>
        <v>41935.354769999998</v>
      </c>
      <c r="H2275" s="97">
        <f t="shared" si="571"/>
        <v>99.220051508340234</v>
      </c>
    </row>
    <row r="2276" spans="1:8" ht="18.75" x14ac:dyDescent="0.2">
      <c r="A2276" s="140" t="s">
        <v>874</v>
      </c>
      <c r="B2276" s="141" t="s">
        <v>1016</v>
      </c>
      <c r="C2276" s="141" t="s">
        <v>994</v>
      </c>
      <c r="D2276" s="141" t="s">
        <v>876</v>
      </c>
      <c r="E2276" s="143"/>
      <c r="F2276" s="147">
        <f>F2277</f>
        <v>9648</v>
      </c>
      <c r="G2276" s="147">
        <f t="shared" ref="G2276:G2282" si="586">G2277</f>
        <v>9593.34</v>
      </c>
      <c r="H2276" s="131">
        <f t="shared" si="571"/>
        <v>99.433457711442784</v>
      </c>
    </row>
    <row r="2277" spans="1:8" ht="31.5" x14ac:dyDescent="0.2">
      <c r="A2277" s="157" t="s">
        <v>18</v>
      </c>
      <c r="B2277" s="141" t="s">
        <v>1016</v>
      </c>
      <c r="C2277" s="141" t="s">
        <v>994</v>
      </c>
      <c r="D2277" s="141" t="s">
        <v>876</v>
      </c>
      <c r="E2277" s="143" t="s">
        <v>20</v>
      </c>
      <c r="F2277" s="147">
        <f>F2282+F2280+F2278</f>
        <v>9648</v>
      </c>
      <c r="G2277" s="147">
        <f t="shared" ref="G2277" si="587">G2282+G2280+G2278</f>
        <v>9593.34</v>
      </c>
      <c r="H2277" s="131">
        <f t="shared" ref="H2277:H2334" si="588">G2277/F2277*100</f>
        <v>99.433457711442784</v>
      </c>
    </row>
    <row r="2278" spans="1:8" ht="18.75" x14ac:dyDescent="0.2">
      <c r="A2278" s="157" t="s">
        <v>24</v>
      </c>
      <c r="B2278" s="141" t="s">
        <v>1016</v>
      </c>
      <c r="C2278" s="141" t="s">
        <v>994</v>
      </c>
      <c r="D2278" s="141" t="s">
        <v>876</v>
      </c>
      <c r="E2278" s="141" t="s">
        <v>25</v>
      </c>
      <c r="F2278" s="147">
        <f>F2279</f>
        <v>285</v>
      </c>
      <c r="G2278" s="147">
        <f t="shared" ref="G2278" si="589">G2279</f>
        <v>284.11</v>
      </c>
      <c r="H2278" s="131">
        <f t="shared" si="588"/>
        <v>99.687719298245611</v>
      </c>
    </row>
    <row r="2279" spans="1:8" s="82" customFormat="1" ht="18.75" hidden="1" x14ac:dyDescent="0.2">
      <c r="A2279" s="28" t="s">
        <v>72</v>
      </c>
      <c r="B2279" s="2" t="s">
        <v>1016</v>
      </c>
      <c r="C2279" s="2" t="s">
        <v>994</v>
      </c>
      <c r="D2279" s="2" t="s">
        <v>876</v>
      </c>
      <c r="E2279" s="33" t="s">
        <v>73</v>
      </c>
      <c r="F2279" s="10">
        <v>285</v>
      </c>
      <c r="G2279" s="10">
        <v>284.11</v>
      </c>
      <c r="H2279" s="97">
        <f t="shared" si="588"/>
        <v>99.687719298245611</v>
      </c>
    </row>
    <row r="2280" spans="1:8" ht="18.75" x14ac:dyDescent="0.2">
      <c r="A2280" s="157" t="s">
        <v>19</v>
      </c>
      <c r="B2280" s="141" t="s">
        <v>1016</v>
      </c>
      <c r="C2280" s="141" t="s">
        <v>994</v>
      </c>
      <c r="D2280" s="141" t="s">
        <v>876</v>
      </c>
      <c r="E2280" s="143" t="s">
        <v>21</v>
      </c>
      <c r="F2280" s="147">
        <f>F2281</f>
        <v>145</v>
      </c>
      <c r="G2280" s="147">
        <f t="shared" ref="G2280" si="590">G2281</f>
        <v>145</v>
      </c>
      <c r="H2280" s="131">
        <f t="shared" si="588"/>
        <v>100</v>
      </c>
    </row>
    <row r="2281" spans="1:8" s="82" customFormat="1" ht="18.75" hidden="1" x14ac:dyDescent="0.2">
      <c r="A2281" s="28" t="s">
        <v>74</v>
      </c>
      <c r="B2281" s="2" t="s">
        <v>1016</v>
      </c>
      <c r="C2281" s="2" t="s">
        <v>994</v>
      </c>
      <c r="D2281" s="2" t="s">
        <v>876</v>
      </c>
      <c r="E2281" s="33" t="s">
        <v>75</v>
      </c>
      <c r="F2281" s="10">
        <v>145</v>
      </c>
      <c r="G2281" s="10">
        <v>145</v>
      </c>
      <c r="H2281" s="97">
        <f t="shared" si="588"/>
        <v>100</v>
      </c>
    </row>
    <row r="2282" spans="1:8" ht="31.5" x14ac:dyDescent="0.2">
      <c r="A2282" s="157" t="s">
        <v>26</v>
      </c>
      <c r="B2282" s="141" t="s">
        <v>1016</v>
      </c>
      <c r="C2282" s="141" t="s">
        <v>994</v>
      </c>
      <c r="D2282" s="141" t="s">
        <v>876</v>
      </c>
      <c r="E2282" s="143" t="s">
        <v>0</v>
      </c>
      <c r="F2282" s="147">
        <f>F2283</f>
        <v>9218</v>
      </c>
      <c r="G2282" s="147">
        <f t="shared" si="586"/>
        <v>9164.23</v>
      </c>
      <c r="H2282" s="131">
        <f t="shared" si="588"/>
        <v>99.41668474723366</v>
      </c>
    </row>
    <row r="2283" spans="1:8" s="82" customFormat="1" ht="31.5" hidden="1" x14ac:dyDescent="0.2">
      <c r="A2283" s="3" t="s">
        <v>875</v>
      </c>
      <c r="B2283" s="2" t="s">
        <v>1016</v>
      </c>
      <c r="C2283" s="2" t="s">
        <v>994</v>
      </c>
      <c r="D2283" s="2" t="s">
        <v>876</v>
      </c>
      <c r="E2283" s="33" t="s">
        <v>472</v>
      </c>
      <c r="F2283" s="10">
        <f>9570-1400+253+795</f>
        <v>9218</v>
      </c>
      <c r="G2283" s="10">
        <v>9164.23</v>
      </c>
      <c r="H2283" s="97">
        <f t="shared" si="588"/>
        <v>99.41668474723366</v>
      </c>
    </row>
    <row r="2284" spans="1:8" ht="31.5" x14ac:dyDescent="0.2">
      <c r="A2284" s="140" t="s">
        <v>909</v>
      </c>
      <c r="B2284" s="148" t="s">
        <v>1016</v>
      </c>
      <c r="C2284" s="148" t="s">
        <v>994</v>
      </c>
      <c r="D2284" s="148" t="s">
        <v>910</v>
      </c>
      <c r="E2284" s="143"/>
      <c r="F2284" s="168">
        <f>F2285</f>
        <v>25000</v>
      </c>
      <c r="G2284" s="168">
        <f t="shared" ref="G2284:G2286" si="591">G2285</f>
        <v>25000</v>
      </c>
      <c r="H2284" s="131">
        <f t="shared" si="588"/>
        <v>100</v>
      </c>
    </row>
    <row r="2285" spans="1:8" ht="31.5" x14ac:dyDescent="0.2">
      <c r="A2285" s="157" t="s">
        <v>18</v>
      </c>
      <c r="B2285" s="141" t="s">
        <v>1016</v>
      </c>
      <c r="C2285" s="141" t="s">
        <v>994</v>
      </c>
      <c r="D2285" s="141" t="s">
        <v>910</v>
      </c>
      <c r="E2285" s="143" t="s">
        <v>20</v>
      </c>
      <c r="F2285" s="166">
        <f>F2286</f>
        <v>25000</v>
      </c>
      <c r="G2285" s="166">
        <f t="shared" si="591"/>
        <v>25000</v>
      </c>
      <c r="H2285" s="131">
        <f t="shared" si="588"/>
        <v>100</v>
      </c>
    </row>
    <row r="2286" spans="1:8" ht="31.5" x14ac:dyDescent="0.2">
      <c r="A2286" s="157" t="s">
        <v>26</v>
      </c>
      <c r="B2286" s="141" t="s">
        <v>1016</v>
      </c>
      <c r="C2286" s="141" t="s">
        <v>994</v>
      </c>
      <c r="D2286" s="141" t="s">
        <v>910</v>
      </c>
      <c r="E2286" s="143" t="s">
        <v>0</v>
      </c>
      <c r="F2286" s="166">
        <f>F2287</f>
        <v>25000</v>
      </c>
      <c r="G2286" s="166">
        <f t="shared" si="591"/>
        <v>25000</v>
      </c>
      <c r="H2286" s="131">
        <f t="shared" si="588"/>
        <v>100</v>
      </c>
    </row>
    <row r="2287" spans="1:8" s="82" customFormat="1" ht="31.5" hidden="1" x14ac:dyDescent="0.2">
      <c r="A2287" s="3" t="s">
        <v>875</v>
      </c>
      <c r="B2287" s="2" t="s">
        <v>1016</v>
      </c>
      <c r="C2287" s="2" t="s">
        <v>994</v>
      </c>
      <c r="D2287" s="2" t="s">
        <v>910</v>
      </c>
      <c r="E2287" s="33" t="s">
        <v>472</v>
      </c>
      <c r="F2287" s="36">
        <v>25000</v>
      </c>
      <c r="G2287" s="10">
        <v>25000</v>
      </c>
      <c r="H2287" s="97">
        <f t="shared" si="588"/>
        <v>100</v>
      </c>
    </row>
    <row r="2288" spans="1:8" ht="18.75" x14ac:dyDescent="0.2">
      <c r="A2288" s="154" t="s">
        <v>413</v>
      </c>
      <c r="B2288" s="133" t="s">
        <v>1016</v>
      </c>
      <c r="C2288" s="133" t="s">
        <v>994</v>
      </c>
      <c r="D2288" s="133" t="s">
        <v>414</v>
      </c>
      <c r="E2288" s="170"/>
      <c r="F2288" s="134">
        <f>F2289+F2293+F2297</f>
        <v>97361</v>
      </c>
      <c r="G2288" s="134">
        <f t="shared" ref="G2288" si="592">G2289+G2293+G2297</f>
        <v>97306.195160000003</v>
      </c>
      <c r="H2288" s="131">
        <f t="shared" si="588"/>
        <v>99.943709657871224</v>
      </c>
    </row>
    <row r="2289" spans="1:11" ht="18.75" x14ac:dyDescent="0.2">
      <c r="A2289" s="155" t="s">
        <v>1103</v>
      </c>
      <c r="B2289" s="148" t="s">
        <v>1016</v>
      </c>
      <c r="C2289" s="148" t="s">
        <v>994</v>
      </c>
      <c r="D2289" s="148" t="s">
        <v>415</v>
      </c>
      <c r="E2289" s="148"/>
      <c r="F2289" s="144">
        <f t="shared" ref="F2289:G2291" si="593">F2290</f>
        <v>93306</v>
      </c>
      <c r="G2289" s="144">
        <f t="shared" si="593"/>
        <v>93252.826809999999</v>
      </c>
      <c r="H2289" s="131">
        <f t="shared" si="588"/>
        <v>99.943012035667593</v>
      </c>
    </row>
    <row r="2290" spans="1:11" ht="31.5" x14ac:dyDescent="0.2">
      <c r="A2290" s="157" t="s">
        <v>18</v>
      </c>
      <c r="B2290" s="141" t="s">
        <v>1016</v>
      </c>
      <c r="C2290" s="141" t="s">
        <v>994</v>
      </c>
      <c r="D2290" s="141" t="s">
        <v>415</v>
      </c>
      <c r="E2290" s="141" t="s">
        <v>20</v>
      </c>
      <c r="F2290" s="147">
        <f t="shared" si="593"/>
        <v>93306</v>
      </c>
      <c r="G2290" s="147">
        <f t="shared" si="593"/>
        <v>93252.826809999999</v>
      </c>
      <c r="H2290" s="131">
        <f t="shared" si="588"/>
        <v>99.943012035667593</v>
      </c>
    </row>
    <row r="2291" spans="1:11" ht="18.75" x14ac:dyDescent="0.2">
      <c r="A2291" s="157" t="s">
        <v>24</v>
      </c>
      <c r="B2291" s="141" t="s">
        <v>1016</v>
      </c>
      <c r="C2291" s="141" t="s">
        <v>994</v>
      </c>
      <c r="D2291" s="141" t="s">
        <v>415</v>
      </c>
      <c r="E2291" s="141" t="s">
        <v>25</v>
      </c>
      <c r="F2291" s="147">
        <f t="shared" si="593"/>
        <v>93306</v>
      </c>
      <c r="G2291" s="147">
        <f t="shared" si="593"/>
        <v>93252.826809999999</v>
      </c>
      <c r="H2291" s="131">
        <f t="shared" si="588"/>
        <v>99.943012035667593</v>
      </c>
    </row>
    <row r="2292" spans="1:11" s="82" customFormat="1" ht="47.25" hidden="1" x14ac:dyDescent="0.2">
      <c r="A2292" s="28" t="s">
        <v>88</v>
      </c>
      <c r="B2292" s="2" t="s">
        <v>1016</v>
      </c>
      <c r="C2292" s="2" t="s">
        <v>994</v>
      </c>
      <c r="D2292" s="2" t="s">
        <v>415</v>
      </c>
      <c r="E2292" s="2" t="s">
        <v>89</v>
      </c>
      <c r="F2292" s="10">
        <f>95960-2654</f>
        <v>93306</v>
      </c>
      <c r="G2292" s="10">
        <v>93252.826809999999</v>
      </c>
      <c r="H2292" s="97">
        <f t="shared" si="588"/>
        <v>99.943012035667593</v>
      </c>
    </row>
    <row r="2293" spans="1:11" ht="18.75" x14ac:dyDescent="0.2">
      <c r="A2293" s="155" t="s">
        <v>1104</v>
      </c>
      <c r="B2293" s="148" t="s">
        <v>1016</v>
      </c>
      <c r="C2293" s="148" t="s">
        <v>994</v>
      </c>
      <c r="D2293" s="148" t="s">
        <v>416</v>
      </c>
      <c r="E2293" s="148"/>
      <c r="F2293" s="144">
        <f t="shared" ref="F2293:G2295" si="594">F2294</f>
        <v>38</v>
      </c>
      <c r="G2293" s="144">
        <f t="shared" si="594"/>
        <v>36.456000000000003</v>
      </c>
      <c r="H2293" s="131">
        <f t="shared" si="588"/>
        <v>95.936842105263167</v>
      </c>
    </row>
    <row r="2294" spans="1:11" ht="31.5" x14ac:dyDescent="0.2">
      <c r="A2294" s="157" t="s">
        <v>18</v>
      </c>
      <c r="B2294" s="141" t="s">
        <v>1016</v>
      </c>
      <c r="C2294" s="141" t="s">
        <v>994</v>
      </c>
      <c r="D2294" s="141" t="s">
        <v>416</v>
      </c>
      <c r="E2294" s="141" t="s">
        <v>20</v>
      </c>
      <c r="F2294" s="147">
        <f t="shared" si="594"/>
        <v>38</v>
      </c>
      <c r="G2294" s="147">
        <f t="shared" si="594"/>
        <v>36.456000000000003</v>
      </c>
      <c r="H2294" s="131">
        <f t="shared" si="588"/>
        <v>95.936842105263167</v>
      </c>
    </row>
    <row r="2295" spans="1:11" ht="18.75" x14ac:dyDescent="0.2">
      <c r="A2295" s="157" t="s">
        <v>24</v>
      </c>
      <c r="B2295" s="141" t="s">
        <v>1016</v>
      </c>
      <c r="C2295" s="141" t="s">
        <v>994</v>
      </c>
      <c r="D2295" s="141" t="s">
        <v>416</v>
      </c>
      <c r="E2295" s="141" t="s">
        <v>25</v>
      </c>
      <c r="F2295" s="147">
        <f t="shared" si="594"/>
        <v>38</v>
      </c>
      <c r="G2295" s="147">
        <f t="shared" si="594"/>
        <v>36.456000000000003</v>
      </c>
      <c r="H2295" s="131">
        <f t="shared" si="588"/>
        <v>95.936842105263167</v>
      </c>
    </row>
    <row r="2296" spans="1:11" s="82" customFormat="1" ht="18.75" hidden="1" x14ac:dyDescent="0.2">
      <c r="A2296" s="28" t="s">
        <v>72</v>
      </c>
      <c r="B2296" s="2" t="s">
        <v>1016</v>
      </c>
      <c r="C2296" s="2" t="s">
        <v>994</v>
      </c>
      <c r="D2296" s="2" t="s">
        <v>416</v>
      </c>
      <c r="E2296" s="2" t="s">
        <v>73</v>
      </c>
      <c r="F2296" s="10">
        <f>29+19-10</f>
        <v>38</v>
      </c>
      <c r="G2296" s="10">
        <v>36.456000000000003</v>
      </c>
      <c r="H2296" s="97">
        <f t="shared" si="588"/>
        <v>95.936842105263167</v>
      </c>
    </row>
    <row r="2297" spans="1:11" ht="18.75" x14ac:dyDescent="0.2">
      <c r="A2297" s="155" t="s">
        <v>980</v>
      </c>
      <c r="B2297" s="148" t="s">
        <v>1016</v>
      </c>
      <c r="C2297" s="148" t="s">
        <v>994</v>
      </c>
      <c r="D2297" s="148" t="s">
        <v>960</v>
      </c>
      <c r="E2297" s="148"/>
      <c r="F2297" s="144">
        <f>F2298</f>
        <v>4017</v>
      </c>
      <c r="G2297" s="144">
        <f t="shared" ref="G2297:G2299" si="595">G2298</f>
        <v>4016.9123500000001</v>
      </c>
      <c r="H2297" s="131">
        <f t="shared" si="588"/>
        <v>99.997818023400555</v>
      </c>
    </row>
    <row r="2298" spans="1:11" ht="31.5" x14ac:dyDescent="0.2">
      <c r="A2298" s="157" t="s">
        <v>18</v>
      </c>
      <c r="B2298" s="141" t="s">
        <v>1016</v>
      </c>
      <c r="C2298" s="141" t="s">
        <v>994</v>
      </c>
      <c r="D2298" s="141" t="s">
        <v>960</v>
      </c>
      <c r="E2298" s="141" t="s">
        <v>20</v>
      </c>
      <c r="F2298" s="147">
        <f>F2299</f>
        <v>4017</v>
      </c>
      <c r="G2298" s="147">
        <f t="shared" si="595"/>
        <v>4016.9123500000001</v>
      </c>
      <c r="H2298" s="131">
        <f t="shared" si="588"/>
        <v>99.997818023400555</v>
      </c>
    </row>
    <row r="2299" spans="1:11" ht="18.75" x14ac:dyDescent="0.2">
      <c r="A2299" s="157" t="s">
        <v>24</v>
      </c>
      <c r="B2299" s="141" t="s">
        <v>1016</v>
      </c>
      <c r="C2299" s="141" t="s">
        <v>994</v>
      </c>
      <c r="D2299" s="141" t="s">
        <v>960</v>
      </c>
      <c r="E2299" s="141" t="s">
        <v>25</v>
      </c>
      <c r="F2299" s="147">
        <f>F2300</f>
        <v>4017</v>
      </c>
      <c r="G2299" s="147">
        <f t="shared" si="595"/>
        <v>4016.9123500000001</v>
      </c>
      <c r="H2299" s="131">
        <f t="shared" si="588"/>
        <v>99.997818023400555</v>
      </c>
    </row>
    <row r="2300" spans="1:11" s="82" customFormat="1" ht="18.75" hidden="1" x14ac:dyDescent="0.2">
      <c r="A2300" s="28" t="s">
        <v>72</v>
      </c>
      <c r="B2300" s="2" t="s">
        <v>1016</v>
      </c>
      <c r="C2300" s="2" t="s">
        <v>994</v>
      </c>
      <c r="D2300" s="2" t="s">
        <v>960</v>
      </c>
      <c r="E2300" s="2" t="s">
        <v>73</v>
      </c>
      <c r="F2300" s="10">
        <v>4017</v>
      </c>
      <c r="G2300" s="10">
        <v>4016.9123500000001</v>
      </c>
      <c r="H2300" s="97">
        <f t="shared" si="588"/>
        <v>99.997818023400555</v>
      </c>
    </row>
    <row r="2301" spans="1:11" ht="18.75" x14ac:dyDescent="0.2">
      <c r="A2301" s="128" t="s">
        <v>1105</v>
      </c>
      <c r="B2301" s="129">
        <v>12</v>
      </c>
      <c r="C2301" s="129"/>
      <c r="D2301" s="129"/>
      <c r="E2301" s="129"/>
      <c r="F2301" s="130">
        <f>F2302+F2317+F2328</f>
        <v>54209</v>
      </c>
      <c r="G2301" s="232">
        <f>G2302+G2317+G2328</f>
        <v>53854.090220000006</v>
      </c>
      <c r="H2301" s="298">
        <f t="shared" si="588"/>
        <v>99.34529362283017</v>
      </c>
      <c r="K2301" s="96">
        <f>53854.09022-G2301</f>
        <v>0</v>
      </c>
    </row>
    <row r="2302" spans="1:11" ht="18.75" x14ac:dyDescent="0.2">
      <c r="A2302" s="314" t="s">
        <v>1106</v>
      </c>
      <c r="B2302" s="133">
        <v>12</v>
      </c>
      <c r="C2302" s="133" t="s">
        <v>992</v>
      </c>
      <c r="D2302" s="268"/>
      <c r="E2302" s="151"/>
      <c r="F2302" s="134">
        <f t="shared" ref="F2302:G2303" si="596">F2303</f>
        <v>27410</v>
      </c>
      <c r="G2302" s="134">
        <f t="shared" si="596"/>
        <v>27404.819000000003</v>
      </c>
      <c r="H2302" s="298">
        <f t="shared" si="588"/>
        <v>99.981098139365216</v>
      </c>
    </row>
    <row r="2303" spans="1:11" ht="47.25" x14ac:dyDescent="0.2">
      <c r="A2303" s="132" t="s">
        <v>1107</v>
      </c>
      <c r="B2303" s="133">
        <v>12</v>
      </c>
      <c r="C2303" s="133" t="s">
        <v>992</v>
      </c>
      <c r="D2303" s="133" t="s">
        <v>209</v>
      </c>
      <c r="E2303" s="133"/>
      <c r="F2303" s="134">
        <f t="shared" si="596"/>
        <v>27410</v>
      </c>
      <c r="G2303" s="134">
        <f t="shared" si="596"/>
        <v>27404.819000000003</v>
      </c>
      <c r="H2303" s="298">
        <f t="shared" si="588"/>
        <v>99.981098139365216</v>
      </c>
    </row>
    <row r="2304" spans="1:11" ht="63" x14ac:dyDescent="0.2">
      <c r="A2304" s="132" t="s">
        <v>1108</v>
      </c>
      <c r="B2304" s="133" t="s">
        <v>1041</v>
      </c>
      <c r="C2304" s="133" t="s">
        <v>992</v>
      </c>
      <c r="D2304" s="139" t="s">
        <v>210</v>
      </c>
      <c r="E2304" s="161"/>
      <c r="F2304" s="134">
        <f>F2313+F2309+F2305</f>
        <v>27410</v>
      </c>
      <c r="G2304" s="134">
        <f>G2313+G2309+G2305</f>
        <v>27404.819000000003</v>
      </c>
      <c r="H2304" s="298">
        <f t="shared" si="588"/>
        <v>99.981098139365216</v>
      </c>
    </row>
    <row r="2305" spans="1:8" ht="31.5" x14ac:dyDescent="0.2">
      <c r="A2305" s="140" t="s">
        <v>110</v>
      </c>
      <c r="B2305" s="148">
        <v>12</v>
      </c>
      <c r="C2305" s="148" t="s">
        <v>992</v>
      </c>
      <c r="D2305" s="148" t="s">
        <v>211</v>
      </c>
      <c r="E2305" s="141"/>
      <c r="F2305" s="144">
        <f t="shared" ref="F2305:G2311" si="597">F2306</f>
        <v>600</v>
      </c>
      <c r="G2305" s="144">
        <f t="shared" si="597"/>
        <v>597.9</v>
      </c>
      <c r="H2305" s="298">
        <f t="shared" si="588"/>
        <v>99.649999999999991</v>
      </c>
    </row>
    <row r="2306" spans="1:8" ht="18.75" x14ac:dyDescent="0.2">
      <c r="A2306" s="145" t="s">
        <v>871</v>
      </c>
      <c r="B2306" s="141" t="s">
        <v>1041</v>
      </c>
      <c r="C2306" s="141" t="s">
        <v>992</v>
      </c>
      <c r="D2306" s="141" t="s">
        <v>211</v>
      </c>
      <c r="E2306" s="141" t="s">
        <v>15</v>
      </c>
      <c r="F2306" s="147">
        <f t="shared" si="597"/>
        <v>600</v>
      </c>
      <c r="G2306" s="147">
        <f t="shared" si="597"/>
        <v>597.9</v>
      </c>
      <c r="H2306" s="298">
        <f t="shared" si="588"/>
        <v>99.649999999999991</v>
      </c>
    </row>
    <row r="2307" spans="1:8" ht="31.5" x14ac:dyDescent="0.2">
      <c r="A2307" s="145" t="s">
        <v>17</v>
      </c>
      <c r="B2307" s="141" t="s">
        <v>1041</v>
      </c>
      <c r="C2307" s="141" t="s">
        <v>992</v>
      </c>
      <c r="D2307" s="141" t="s">
        <v>211</v>
      </c>
      <c r="E2307" s="141" t="s">
        <v>16</v>
      </c>
      <c r="F2307" s="147">
        <f t="shared" si="597"/>
        <v>600</v>
      </c>
      <c r="G2307" s="147">
        <f t="shared" si="597"/>
        <v>597.9</v>
      </c>
      <c r="H2307" s="298">
        <f t="shared" si="588"/>
        <v>99.649999999999991</v>
      </c>
    </row>
    <row r="2308" spans="1:8" s="82" customFormat="1" ht="18.75" hidden="1" x14ac:dyDescent="0.2">
      <c r="A2308" s="3" t="s">
        <v>548</v>
      </c>
      <c r="B2308" s="2" t="s">
        <v>1041</v>
      </c>
      <c r="C2308" s="2" t="s">
        <v>992</v>
      </c>
      <c r="D2308" s="2" t="s">
        <v>211</v>
      </c>
      <c r="E2308" s="2" t="s">
        <v>67</v>
      </c>
      <c r="F2308" s="10">
        <f>1000-400</f>
        <v>600</v>
      </c>
      <c r="G2308" s="10">
        <v>597.9</v>
      </c>
      <c r="H2308" s="100">
        <f t="shared" si="588"/>
        <v>99.649999999999991</v>
      </c>
    </row>
    <row r="2309" spans="1:8" ht="31.5" x14ac:dyDescent="0.2">
      <c r="A2309" s="140" t="s">
        <v>964</v>
      </c>
      <c r="B2309" s="148">
        <v>12</v>
      </c>
      <c r="C2309" s="148" t="s">
        <v>992</v>
      </c>
      <c r="D2309" s="148" t="s">
        <v>963</v>
      </c>
      <c r="E2309" s="141"/>
      <c r="F2309" s="144">
        <f t="shared" si="597"/>
        <v>1210</v>
      </c>
      <c r="G2309" s="144">
        <f t="shared" si="597"/>
        <v>1206.9190000000001</v>
      </c>
      <c r="H2309" s="298">
        <f t="shared" si="588"/>
        <v>99.745371900826456</v>
      </c>
    </row>
    <row r="2310" spans="1:8" ht="31.5" x14ac:dyDescent="0.2">
      <c r="A2310" s="157" t="s">
        <v>18</v>
      </c>
      <c r="B2310" s="141" t="s">
        <v>1041</v>
      </c>
      <c r="C2310" s="141" t="s">
        <v>992</v>
      </c>
      <c r="D2310" s="141" t="s">
        <v>963</v>
      </c>
      <c r="E2310" s="141" t="s">
        <v>20</v>
      </c>
      <c r="F2310" s="147">
        <f t="shared" si="597"/>
        <v>1210</v>
      </c>
      <c r="G2310" s="147">
        <f t="shared" si="597"/>
        <v>1206.9190000000001</v>
      </c>
      <c r="H2310" s="298">
        <f t="shared" si="588"/>
        <v>99.745371900826456</v>
      </c>
    </row>
    <row r="2311" spans="1:8" ht="18.75" x14ac:dyDescent="0.2">
      <c r="A2311" s="157" t="s">
        <v>24</v>
      </c>
      <c r="B2311" s="141" t="s">
        <v>1041</v>
      </c>
      <c r="C2311" s="141" t="s">
        <v>992</v>
      </c>
      <c r="D2311" s="141" t="s">
        <v>963</v>
      </c>
      <c r="E2311" s="141" t="s">
        <v>25</v>
      </c>
      <c r="F2311" s="147">
        <f t="shared" si="597"/>
        <v>1210</v>
      </c>
      <c r="G2311" s="147">
        <f t="shared" si="597"/>
        <v>1206.9190000000001</v>
      </c>
      <c r="H2311" s="298">
        <f t="shared" si="588"/>
        <v>99.745371900826456</v>
      </c>
    </row>
    <row r="2312" spans="1:8" s="82" customFormat="1" ht="18.75" hidden="1" x14ac:dyDescent="0.2">
      <c r="A2312" s="28" t="s">
        <v>72</v>
      </c>
      <c r="B2312" s="2" t="s">
        <v>1041</v>
      </c>
      <c r="C2312" s="2" t="s">
        <v>992</v>
      </c>
      <c r="D2312" s="2" t="s">
        <v>963</v>
      </c>
      <c r="E2312" s="2" t="s">
        <v>73</v>
      </c>
      <c r="F2312" s="10">
        <f>504+706</f>
        <v>1210</v>
      </c>
      <c r="G2312" s="10">
        <v>1206.9190000000001</v>
      </c>
      <c r="H2312" s="100">
        <f t="shared" si="588"/>
        <v>99.745371900826456</v>
      </c>
    </row>
    <row r="2313" spans="1:8" ht="18.75" x14ac:dyDescent="0.2">
      <c r="A2313" s="155" t="s">
        <v>460</v>
      </c>
      <c r="B2313" s="148" t="s">
        <v>1041</v>
      </c>
      <c r="C2313" s="148" t="s">
        <v>992</v>
      </c>
      <c r="D2313" s="148" t="s">
        <v>459</v>
      </c>
      <c r="E2313" s="148"/>
      <c r="F2313" s="144">
        <f t="shared" ref="F2313:G2315" si="598">F2314</f>
        <v>25600</v>
      </c>
      <c r="G2313" s="144">
        <f t="shared" si="598"/>
        <v>25600</v>
      </c>
      <c r="H2313" s="298">
        <f t="shared" si="588"/>
        <v>100</v>
      </c>
    </row>
    <row r="2314" spans="1:8" ht="31.5" x14ac:dyDescent="0.2">
      <c r="A2314" s="162" t="s">
        <v>18</v>
      </c>
      <c r="B2314" s="141" t="s">
        <v>1041</v>
      </c>
      <c r="C2314" s="141" t="s">
        <v>992</v>
      </c>
      <c r="D2314" s="141" t="s">
        <v>459</v>
      </c>
      <c r="E2314" s="141" t="s">
        <v>20</v>
      </c>
      <c r="F2314" s="147">
        <f t="shared" si="598"/>
        <v>25600</v>
      </c>
      <c r="G2314" s="147">
        <f t="shared" si="598"/>
        <v>25600</v>
      </c>
      <c r="H2314" s="298">
        <f t="shared" si="588"/>
        <v>100</v>
      </c>
    </row>
    <row r="2315" spans="1:8" ht="18.75" x14ac:dyDescent="0.2">
      <c r="A2315" s="157" t="s">
        <v>24</v>
      </c>
      <c r="B2315" s="141" t="s">
        <v>1041</v>
      </c>
      <c r="C2315" s="141" t="s">
        <v>992</v>
      </c>
      <c r="D2315" s="141" t="s">
        <v>459</v>
      </c>
      <c r="E2315" s="141" t="s">
        <v>25</v>
      </c>
      <c r="F2315" s="147">
        <f t="shared" si="598"/>
        <v>25600</v>
      </c>
      <c r="G2315" s="147">
        <f t="shared" si="598"/>
        <v>25600</v>
      </c>
      <c r="H2315" s="298">
        <f t="shared" si="588"/>
        <v>100</v>
      </c>
    </row>
    <row r="2316" spans="1:8" s="82" customFormat="1" ht="47.25" hidden="1" x14ac:dyDescent="0.2">
      <c r="A2316" s="28" t="s">
        <v>88</v>
      </c>
      <c r="B2316" s="2" t="s">
        <v>1041</v>
      </c>
      <c r="C2316" s="2" t="s">
        <v>992</v>
      </c>
      <c r="D2316" s="2" t="s">
        <v>459</v>
      </c>
      <c r="E2316" s="2" t="s">
        <v>89</v>
      </c>
      <c r="F2316" s="10">
        <f>24200+1400</f>
        <v>25600</v>
      </c>
      <c r="G2316" s="10">
        <v>25600</v>
      </c>
      <c r="H2316" s="100">
        <f t="shared" si="588"/>
        <v>100</v>
      </c>
    </row>
    <row r="2317" spans="1:8" ht="18.75" x14ac:dyDescent="0.2">
      <c r="A2317" s="132" t="s">
        <v>1109</v>
      </c>
      <c r="B2317" s="133" t="s">
        <v>1041</v>
      </c>
      <c r="C2317" s="133" t="s">
        <v>990</v>
      </c>
      <c r="D2317" s="133"/>
      <c r="E2317" s="133"/>
      <c r="F2317" s="134">
        <f>F2318</f>
        <v>18583</v>
      </c>
      <c r="G2317" s="134">
        <f>G2318</f>
        <v>18558.371219999997</v>
      </c>
      <c r="H2317" s="298">
        <f t="shared" si="588"/>
        <v>99.867466071140271</v>
      </c>
    </row>
    <row r="2318" spans="1:8" ht="47.25" x14ac:dyDescent="0.2">
      <c r="A2318" s="132" t="s">
        <v>1110</v>
      </c>
      <c r="B2318" s="133">
        <v>12</v>
      </c>
      <c r="C2318" s="133" t="s">
        <v>990</v>
      </c>
      <c r="D2318" s="133" t="s">
        <v>209</v>
      </c>
      <c r="E2318" s="133"/>
      <c r="F2318" s="134">
        <f>F2320+F2324</f>
        <v>18583</v>
      </c>
      <c r="G2318" s="134">
        <f>G2320+G2324</f>
        <v>18558.371219999997</v>
      </c>
      <c r="H2318" s="298">
        <f t="shared" si="588"/>
        <v>99.867466071140271</v>
      </c>
    </row>
    <row r="2319" spans="1:8" ht="63" x14ac:dyDescent="0.2">
      <c r="A2319" s="132" t="s">
        <v>1108</v>
      </c>
      <c r="B2319" s="133" t="s">
        <v>1041</v>
      </c>
      <c r="C2319" s="133" t="s">
        <v>990</v>
      </c>
      <c r="D2319" s="139" t="s">
        <v>210</v>
      </c>
      <c r="E2319" s="161"/>
      <c r="F2319" s="134">
        <f>F2320+F2324</f>
        <v>18583</v>
      </c>
      <c r="G2319" s="134">
        <f>G2320+G2324</f>
        <v>18558.371219999997</v>
      </c>
      <c r="H2319" s="298">
        <f t="shared" si="588"/>
        <v>99.867466071140271</v>
      </c>
    </row>
    <row r="2320" spans="1:8" ht="31.5" x14ac:dyDescent="0.2">
      <c r="A2320" s="140" t="s">
        <v>110</v>
      </c>
      <c r="B2320" s="148">
        <v>12</v>
      </c>
      <c r="C2320" s="148" t="s">
        <v>990</v>
      </c>
      <c r="D2320" s="148" t="s">
        <v>211</v>
      </c>
      <c r="E2320" s="141"/>
      <c r="F2320" s="144">
        <f t="shared" ref="F2320:G2322" si="599">F2321</f>
        <v>18083</v>
      </c>
      <c r="G2320" s="144">
        <f t="shared" si="599"/>
        <v>18080.271219999999</v>
      </c>
      <c r="H2320" s="298">
        <f t="shared" si="588"/>
        <v>99.984909694187905</v>
      </c>
    </row>
    <row r="2321" spans="1:8" ht="18.75" x14ac:dyDescent="0.2">
      <c r="A2321" s="145" t="s">
        <v>871</v>
      </c>
      <c r="B2321" s="141" t="s">
        <v>1041</v>
      </c>
      <c r="C2321" s="141" t="s">
        <v>990</v>
      </c>
      <c r="D2321" s="141" t="s">
        <v>211</v>
      </c>
      <c r="E2321" s="141" t="s">
        <v>15</v>
      </c>
      <c r="F2321" s="147">
        <f t="shared" si="599"/>
        <v>18083</v>
      </c>
      <c r="G2321" s="147">
        <f t="shared" si="599"/>
        <v>18080.271219999999</v>
      </c>
      <c r="H2321" s="298">
        <f t="shared" si="588"/>
        <v>99.984909694187905</v>
      </c>
    </row>
    <row r="2322" spans="1:8" ht="31.5" x14ac:dyDescent="0.2">
      <c r="A2322" s="145" t="s">
        <v>17</v>
      </c>
      <c r="B2322" s="141" t="s">
        <v>1041</v>
      </c>
      <c r="C2322" s="141" t="s">
        <v>990</v>
      </c>
      <c r="D2322" s="141" t="s">
        <v>211</v>
      </c>
      <c r="E2322" s="141" t="s">
        <v>16</v>
      </c>
      <c r="F2322" s="147">
        <f t="shared" si="599"/>
        <v>18083</v>
      </c>
      <c r="G2322" s="147">
        <f t="shared" si="599"/>
        <v>18080.271219999999</v>
      </c>
      <c r="H2322" s="298">
        <f t="shared" si="588"/>
        <v>99.984909694187905</v>
      </c>
    </row>
    <row r="2323" spans="1:8" s="82" customFormat="1" ht="18.75" hidden="1" x14ac:dyDescent="0.2">
      <c r="A2323" s="3" t="s">
        <v>548</v>
      </c>
      <c r="B2323" s="2" t="s">
        <v>1041</v>
      </c>
      <c r="C2323" s="2" t="s">
        <v>990</v>
      </c>
      <c r="D2323" s="2" t="s">
        <v>211</v>
      </c>
      <c r="E2323" s="2" t="s">
        <v>67</v>
      </c>
      <c r="F2323" s="10">
        <f>17134-1051+2000</f>
        <v>18083</v>
      </c>
      <c r="G2323" s="10">
        <v>18080.271219999999</v>
      </c>
      <c r="H2323" s="100">
        <f t="shared" si="588"/>
        <v>99.984909694187905</v>
      </c>
    </row>
    <row r="2324" spans="1:8" ht="18.75" x14ac:dyDescent="0.2">
      <c r="A2324" s="140" t="s">
        <v>443</v>
      </c>
      <c r="B2324" s="148" t="s">
        <v>1041</v>
      </c>
      <c r="C2324" s="148" t="s">
        <v>990</v>
      </c>
      <c r="D2324" s="148" t="s">
        <v>444</v>
      </c>
      <c r="E2324" s="148"/>
      <c r="F2324" s="144">
        <f t="shared" ref="F2324:G2326" si="600">F2325</f>
        <v>500</v>
      </c>
      <c r="G2324" s="144">
        <f t="shared" si="600"/>
        <v>478.1</v>
      </c>
      <c r="H2324" s="298">
        <f t="shared" si="588"/>
        <v>95.62</v>
      </c>
    </row>
    <row r="2325" spans="1:8" ht="18.75" x14ac:dyDescent="0.2">
      <c r="A2325" s="145" t="s">
        <v>871</v>
      </c>
      <c r="B2325" s="141" t="s">
        <v>1041</v>
      </c>
      <c r="C2325" s="141" t="s">
        <v>990</v>
      </c>
      <c r="D2325" s="141" t="s">
        <v>444</v>
      </c>
      <c r="E2325" s="141" t="s">
        <v>15</v>
      </c>
      <c r="F2325" s="147">
        <f t="shared" si="600"/>
        <v>500</v>
      </c>
      <c r="G2325" s="147">
        <f t="shared" si="600"/>
        <v>478.1</v>
      </c>
      <c r="H2325" s="298">
        <f t="shared" si="588"/>
        <v>95.62</v>
      </c>
    </row>
    <row r="2326" spans="1:8" ht="31.5" x14ac:dyDescent="0.2">
      <c r="A2326" s="145" t="s">
        <v>17</v>
      </c>
      <c r="B2326" s="141" t="s">
        <v>1041</v>
      </c>
      <c r="C2326" s="141" t="s">
        <v>990</v>
      </c>
      <c r="D2326" s="141" t="s">
        <v>444</v>
      </c>
      <c r="E2326" s="141" t="s">
        <v>16</v>
      </c>
      <c r="F2326" s="147">
        <f t="shared" si="600"/>
        <v>500</v>
      </c>
      <c r="G2326" s="147">
        <f t="shared" si="600"/>
        <v>478.1</v>
      </c>
      <c r="H2326" s="298">
        <f t="shared" si="588"/>
        <v>95.62</v>
      </c>
    </row>
    <row r="2327" spans="1:8" s="82" customFormat="1" ht="18.75" hidden="1" x14ac:dyDescent="0.2">
      <c r="A2327" s="3" t="s">
        <v>548</v>
      </c>
      <c r="B2327" s="2" t="s">
        <v>1041</v>
      </c>
      <c r="C2327" s="2" t="s">
        <v>990</v>
      </c>
      <c r="D2327" s="2" t="s">
        <v>444</v>
      </c>
      <c r="E2327" s="2" t="s">
        <v>67</v>
      </c>
      <c r="F2327" s="10">
        <v>500</v>
      </c>
      <c r="G2327" s="10">
        <v>478.1</v>
      </c>
      <c r="H2327" s="100">
        <f t="shared" si="588"/>
        <v>95.62</v>
      </c>
    </row>
    <row r="2328" spans="1:8" ht="18.75" x14ac:dyDescent="0.2">
      <c r="A2328" s="314" t="s">
        <v>1111</v>
      </c>
      <c r="B2328" s="133">
        <v>12</v>
      </c>
      <c r="C2328" s="133" t="s">
        <v>999</v>
      </c>
      <c r="D2328" s="268"/>
      <c r="E2328" s="151"/>
      <c r="F2328" s="134">
        <f>F2329</f>
        <v>8216</v>
      </c>
      <c r="G2328" s="134">
        <f>G2329</f>
        <v>7890.9</v>
      </c>
      <c r="H2328" s="298">
        <f t="shared" si="588"/>
        <v>96.043086660175263</v>
      </c>
    </row>
    <row r="2329" spans="1:8" ht="47.25" x14ac:dyDescent="0.2">
      <c r="A2329" s="132" t="s">
        <v>1112</v>
      </c>
      <c r="B2329" s="133">
        <v>12</v>
      </c>
      <c r="C2329" s="133" t="s">
        <v>999</v>
      </c>
      <c r="D2329" s="133" t="s">
        <v>209</v>
      </c>
      <c r="E2329" s="133"/>
      <c r="F2329" s="134">
        <f>F2330+F2335</f>
        <v>8216</v>
      </c>
      <c r="G2329" s="134">
        <f>G2330+G2335</f>
        <v>7890.9</v>
      </c>
      <c r="H2329" s="298">
        <f t="shared" si="588"/>
        <v>96.043086660175263</v>
      </c>
    </row>
    <row r="2330" spans="1:8" ht="63" x14ac:dyDescent="0.2">
      <c r="A2330" s="132" t="s">
        <v>1108</v>
      </c>
      <c r="B2330" s="133" t="s">
        <v>1041</v>
      </c>
      <c r="C2330" s="133" t="s">
        <v>999</v>
      </c>
      <c r="D2330" s="139" t="s">
        <v>210</v>
      </c>
      <c r="E2330" s="161"/>
      <c r="F2330" s="134">
        <f>F2331</f>
        <v>2690</v>
      </c>
      <c r="G2330" s="134">
        <f>G2331</f>
        <v>2666.2</v>
      </c>
      <c r="H2330" s="298">
        <f t="shared" si="588"/>
        <v>99.115241635687724</v>
      </c>
    </row>
    <row r="2331" spans="1:8" ht="31.5" x14ac:dyDescent="0.2">
      <c r="A2331" s="140" t="s">
        <v>110</v>
      </c>
      <c r="B2331" s="148" t="s">
        <v>1041</v>
      </c>
      <c r="C2331" s="148" t="s">
        <v>999</v>
      </c>
      <c r="D2331" s="148" t="s">
        <v>211</v>
      </c>
      <c r="E2331" s="148"/>
      <c r="F2331" s="144">
        <f t="shared" ref="F2331:G2333" si="601">F2332</f>
        <v>2690</v>
      </c>
      <c r="G2331" s="144">
        <f t="shared" si="601"/>
        <v>2666.2</v>
      </c>
      <c r="H2331" s="298">
        <f t="shared" si="588"/>
        <v>99.115241635687724</v>
      </c>
    </row>
    <row r="2332" spans="1:8" ht="18.75" x14ac:dyDescent="0.2">
      <c r="A2332" s="145" t="s">
        <v>871</v>
      </c>
      <c r="B2332" s="141" t="s">
        <v>1041</v>
      </c>
      <c r="C2332" s="141" t="s">
        <v>999</v>
      </c>
      <c r="D2332" s="141" t="s">
        <v>211</v>
      </c>
      <c r="E2332" s="141">
        <v>200</v>
      </c>
      <c r="F2332" s="147">
        <f t="shared" si="601"/>
        <v>2690</v>
      </c>
      <c r="G2332" s="147">
        <f t="shared" si="601"/>
        <v>2666.2</v>
      </c>
      <c r="H2332" s="298">
        <f t="shared" si="588"/>
        <v>99.115241635687724</v>
      </c>
    </row>
    <row r="2333" spans="1:8" ht="31.5" x14ac:dyDescent="0.2">
      <c r="A2333" s="145" t="s">
        <v>17</v>
      </c>
      <c r="B2333" s="141" t="s">
        <v>1041</v>
      </c>
      <c r="C2333" s="141" t="s">
        <v>999</v>
      </c>
      <c r="D2333" s="141" t="s">
        <v>211</v>
      </c>
      <c r="E2333" s="141">
        <v>240</v>
      </c>
      <c r="F2333" s="147">
        <f t="shared" si="601"/>
        <v>2690</v>
      </c>
      <c r="G2333" s="147">
        <f t="shared" si="601"/>
        <v>2666.2</v>
      </c>
      <c r="H2333" s="298">
        <f t="shared" si="588"/>
        <v>99.115241635687724</v>
      </c>
    </row>
    <row r="2334" spans="1:8" s="82" customFormat="1" ht="18.75" hidden="1" x14ac:dyDescent="0.2">
      <c r="A2334" s="3" t="s">
        <v>548</v>
      </c>
      <c r="B2334" s="2" t="s">
        <v>1041</v>
      </c>
      <c r="C2334" s="2" t="s">
        <v>999</v>
      </c>
      <c r="D2334" s="2" t="s">
        <v>211</v>
      </c>
      <c r="E2334" s="2" t="s">
        <v>67</v>
      </c>
      <c r="F2334" s="10">
        <f>2700+300-1000+1500-504-306</f>
        <v>2690</v>
      </c>
      <c r="G2334" s="10">
        <v>2666.2</v>
      </c>
      <c r="H2334" s="100">
        <f t="shared" si="588"/>
        <v>99.115241635687724</v>
      </c>
    </row>
    <row r="2335" spans="1:8" ht="47.25" x14ac:dyDescent="0.2">
      <c r="A2335" s="132" t="s">
        <v>1113</v>
      </c>
      <c r="B2335" s="133" t="s">
        <v>1041</v>
      </c>
      <c r="C2335" s="133" t="s">
        <v>999</v>
      </c>
      <c r="D2335" s="139" t="s">
        <v>212</v>
      </c>
      <c r="E2335" s="161"/>
      <c r="F2335" s="134">
        <f>F2336+F2343+F2347</f>
        <v>5526</v>
      </c>
      <c r="G2335" s="134">
        <f>G2336+G2343+G2347</f>
        <v>5224.7</v>
      </c>
      <c r="H2335" s="298">
        <f t="shared" ref="H2335:H2352" si="602">G2335/F2335*100</f>
        <v>94.547593195801653</v>
      </c>
    </row>
    <row r="2336" spans="1:8" ht="31.5" x14ac:dyDescent="0.2">
      <c r="A2336" s="140" t="s">
        <v>554</v>
      </c>
      <c r="B2336" s="148" t="s">
        <v>1041</v>
      </c>
      <c r="C2336" s="148" t="s">
        <v>999</v>
      </c>
      <c r="D2336" s="148" t="s">
        <v>553</v>
      </c>
      <c r="E2336" s="141"/>
      <c r="F2336" s="144">
        <f>F2337+F2340</f>
        <v>499</v>
      </c>
      <c r="G2336" s="144">
        <f t="shared" ref="F2336:G2338" si="603">G2337</f>
        <v>198.8</v>
      </c>
      <c r="H2336" s="298">
        <f t="shared" si="602"/>
        <v>39.83967935871744</v>
      </c>
    </row>
    <row r="2337" spans="1:8" ht="18.75" x14ac:dyDescent="0.2">
      <c r="A2337" s="145" t="s">
        <v>871</v>
      </c>
      <c r="B2337" s="141" t="s">
        <v>1041</v>
      </c>
      <c r="C2337" s="141" t="s">
        <v>999</v>
      </c>
      <c r="D2337" s="141" t="s">
        <v>553</v>
      </c>
      <c r="E2337" s="141">
        <v>200</v>
      </c>
      <c r="F2337" s="147">
        <f t="shared" si="603"/>
        <v>199</v>
      </c>
      <c r="G2337" s="147">
        <f t="shared" si="603"/>
        <v>198.8</v>
      </c>
      <c r="H2337" s="298">
        <f t="shared" si="602"/>
        <v>99.899497487437188</v>
      </c>
    </row>
    <row r="2338" spans="1:8" ht="31.5" x14ac:dyDescent="0.2">
      <c r="A2338" s="145" t="s">
        <v>17</v>
      </c>
      <c r="B2338" s="141" t="s">
        <v>1041</v>
      </c>
      <c r="C2338" s="141" t="s">
        <v>999</v>
      </c>
      <c r="D2338" s="141" t="s">
        <v>553</v>
      </c>
      <c r="E2338" s="141">
        <v>240</v>
      </c>
      <c r="F2338" s="147">
        <f t="shared" si="603"/>
        <v>199</v>
      </c>
      <c r="G2338" s="147">
        <f t="shared" si="603"/>
        <v>198.8</v>
      </c>
      <c r="H2338" s="298">
        <f t="shared" si="602"/>
        <v>99.899497487437188</v>
      </c>
    </row>
    <row r="2339" spans="1:8" s="82" customFormat="1" ht="18.75" hidden="1" x14ac:dyDescent="0.2">
      <c r="A2339" s="3" t="s">
        <v>548</v>
      </c>
      <c r="B2339" s="2" t="s">
        <v>1041</v>
      </c>
      <c r="C2339" s="2" t="s">
        <v>999</v>
      </c>
      <c r="D2339" s="2" t="s">
        <v>553</v>
      </c>
      <c r="E2339" s="2" t="s">
        <v>67</v>
      </c>
      <c r="F2339" s="10">
        <f>1200-300-694-7</f>
        <v>199</v>
      </c>
      <c r="G2339" s="10">
        <v>198.8</v>
      </c>
      <c r="H2339" s="97">
        <f t="shared" si="602"/>
        <v>99.899497487437188</v>
      </c>
    </row>
    <row r="2340" spans="1:8" ht="31.5" x14ac:dyDescent="0.2">
      <c r="A2340" s="162" t="s">
        <v>18</v>
      </c>
      <c r="B2340" s="141" t="s">
        <v>1041</v>
      </c>
      <c r="C2340" s="141" t="s">
        <v>999</v>
      </c>
      <c r="D2340" s="141" t="s">
        <v>553</v>
      </c>
      <c r="E2340" s="141" t="s">
        <v>20</v>
      </c>
      <c r="F2340" s="147">
        <f>F2341</f>
        <v>300</v>
      </c>
      <c r="G2340" s="147">
        <f>G2341</f>
        <v>0</v>
      </c>
      <c r="H2340" s="131">
        <f t="shared" si="602"/>
        <v>0</v>
      </c>
    </row>
    <row r="2341" spans="1:8" ht="18.75" x14ac:dyDescent="0.2">
      <c r="A2341" s="157" t="s">
        <v>24</v>
      </c>
      <c r="B2341" s="141" t="s">
        <v>1041</v>
      </c>
      <c r="C2341" s="141" t="s">
        <v>999</v>
      </c>
      <c r="D2341" s="141" t="s">
        <v>553</v>
      </c>
      <c r="E2341" s="141" t="s">
        <v>25</v>
      </c>
      <c r="F2341" s="147">
        <f>F2342</f>
        <v>300</v>
      </c>
      <c r="G2341" s="147">
        <f>G2342</f>
        <v>0</v>
      </c>
      <c r="H2341" s="131">
        <f t="shared" si="602"/>
        <v>0</v>
      </c>
    </row>
    <row r="2342" spans="1:8" s="82" customFormat="1" ht="18.75" hidden="1" x14ac:dyDescent="0.2">
      <c r="A2342" s="28" t="s">
        <v>72</v>
      </c>
      <c r="B2342" s="2" t="s">
        <v>1041</v>
      </c>
      <c r="C2342" s="2" t="s">
        <v>999</v>
      </c>
      <c r="D2342" s="2" t="s">
        <v>553</v>
      </c>
      <c r="E2342" s="2" t="s">
        <v>73</v>
      </c>
      <c r="F2342" s="10">
        <v>300</v>
      </c>
      <c r="G2342" s="10">
        <v>0</v>
      </c>
      <c r="H2342" s="97">
        <f t="shared" si="602"/>
        <v>0</v>
      </c>
    </row>
    <row r="2343" spans="1:8" ht="31.5" x14ac:dyDescent="0.2">
      <c r="A2343" s="140" t="s">
        <v>555</v>
      </c>
      <c r="B2343" s="148" t="s">
        <v>1041</v>
      </c>
      <c r="C2343" s="148" t="s">
        <v>999</v>
      </c>
      <c r="D2343" s="148" t="s">
        <v>859</v>
      </c>
      <c r="E2343" s="141"/>
      <c r="F2343" s="144">
        <f>F2344</f>
        <v>4031</v>
      </c>
      <c r="G2343" s="144">
        <f t="shared" ref="F2343:G2349" si="604">G2344</f>
        <v>4030.7</v>
      </c>
      <c r="H2343" s="131">
        <f t="shared" si="602"/>
        <v>99.992557677995535</v>
      </c>
    </row>
    <row r="2344" spans="1:8" ht="18.75" x14ac:dyDescent="0.2">
      <c r="A2344" s="145" t="s">
        <v>871</v>
      </c>
      <c r="B2344" s="141" t="s">
        <v>1041</v>
      </c>
      <c r="C2344" s="141" t="s">
        <v>999</v>
      </c>
      <c r="D2344" s="141" t="s">
        <v>859</v>
      </c>
      <c r="E2344" s="141">
        <v>200</v>
      </c>
      <c r="F2344" s="147">
        <f t="shared" si="604"/>
        <v>4031</v>
      </c>
      <c r="G2344" s="147">
        <f t="shared" si="604"/>
        <v>4030.7</v>
      </c>
      <c r="H2344" s="131">
        <f t="shared" si="602"/>
        <v>99.992557677995535</v>
      </c>
    </row>
    <row r="2345" spans="1:8" ht="31.5" x14ac:dyDescent="0.2">
      <c r="A2345" s="145" t="s">
        <v>17</v>
      </c>
      <c r="B2345" s="141" t="s">
        <v>1041</v>
      </c>
      <c r="C2345" s="141" t="s">
        <v>999</v>
      </c>
      <c r="D2345" s="141" t="s">
        <v>859</v>
      </c>
      <c r="E2345" s="141">
        <v>240</v>
      </c>
      <c r="F2345" s="147">
        <f t="shared" si="604"/>
        <v>4031</v>
      </c>
      <c r="G2345" s="147">
        <f t="shared" si="604"/>
        <v>4030.7</v>
      </c>
      <c r="H2345" s="131">
        <f t="shared" si="602"/>
        <v>99.992557677995535</v>
      </c>
    </row>
    <row r="2346" spans="1:8" s="82" customFormat="1" ht="18.75" hidden="1" x14ac:dyDescent="0.2">
      <c r="A2346" s="3" t="s">
        <v>548</v>
      </c>
      <c r="B2346" s="2" t="s">
        <v>1041</v>
      </c>
      <c r="C2346" s="2" t="s">
        <v>999</v>
      </c>
      <c r="D2346" s="2" t="s">
        <v>859</v>
      </c>
      <c r="E2346" s="2" t="s">
        <v>67</v>
      </c>
      <c r="F2346" s="10">
        <f>4988-957</f>
        <v>4031</v>
      </c>
      <c r="G2346" s="10">
        <v>4030.7</v>
      </c>
      <c r="H2346" s="97">
        <f t="shared" si="602"/>
        <v>99.992557677995535</v>
      </c>
    </row>
    <row r="2347" spans="1:8" ht="18.75" x14ac:dyDescent="0.2">
      <c r="A2347" s="140" t="s">
        <v>111</v>
      </c>
      <c r="B2347" s="148" t="s">
        <v>1041</v>
      </c>
      <c r="C2347" s="148" t="s">
        <v>999</v>
      </c>
      <c r="D2347" s="148" t="s">
        <v>860</v>
      </c>
      <c r="E2347" s="141"/>
      <c r="F2347" s="144">
        <f>F2348</f>
        <v>996</v>
      </c>
      <c r="G2347" s="144">
        <f t="shared" si="604"/>
        <v>995.2</v>
      </c>
      <c r="H2347" s="298">
        <f t="shared" si="602"/>
        <v>99.919678714859444</v>
      </c>
    </row>
    <row r="2348" spans="1:8" ht="18.75" x14ac:dyDescent="0.2">
      <c r="A2348" s="145" t="s">
        <v>871</v>
      </c>
      <c r="B2348" s="141" t="s">
        <v>1041</v>
      </c>
      <c r="C2348" s="141" t="s">
        <v>999</v>
      </c>
      <c r="D2348" s="141" t="s">
        <v>860</v>
      </c>
      <c r="E2348" s="141">
        <v>200</v>
      </c>
      <c r="F2348" s="147">
        <f t="shared" si="604"/>
        <v>996</v>
      </c>
      <c r="G2348" s="147">
        <f t="shared" si="604"/>
        <v>995.2</v>
      </c>
      <c r="H2348" s="298">
        <f t="shared" si="602"/>
        <v>99.919678714859444</v>
      </c>
    </row>
    <row r="2349" spans="1:8" ht="31.5" x14ac:dyDescent="0.2">
      <c r="A2349" s="145" t="s">
        <v>17</v>
      </c>
      <c r="B2349" s="141" t="s">
        <v>1041</v>
      </c>
      <c r="C2349" s="141" t="s">
        <v>999</v>
      </c>
      <c r="D2349" s="141" t="s">
        <v>860</v>
      </c>
      <c r="E2349" s="141">
        <v>240</v>
      </c>
      <c r="F2349" s="147">
        <f t="shared" si="604"/>
        <v>996</v>
      </c>
      <c r="G2349" s="147">
        <f t="shared" si="604"/>
        <v>995.2</v>
      </c>
      <c r="H2349" s="298">
        <f t="shared" si="602"/>
        <v>99.919678714859444</v>
      </c>
    </row>
    <row r="2350" spans="1:8" s="82" customFormat="1" ht="18.75" hidden="1" x14ac:dyDescent="0.2">
      <c r="A2350" s="3" t="s">
        <v>548</v>
      </c>
      <c r="B2350" s="2" t="s">
        <v>1041</v>
      </c>
      <c r="C2350" s="2" t="s">
        <v>999</v>
      </c>
      <c r="D2350" s="2" t="s">
        <v>860</v>
      </c>
      <c r="E2350" s="2" t="s">
        <v>67</v>
      </c>
      <c r="F2350" s="10">
        <f>1000-4</f>
        <v>996</v>
      </c>
      <c r="G2350" s="10">
        <v>995.2</v>
      </c>
      <c r="H2350" s="100">
        <f t="shared" si="602"/>
        <v>99.919678714859444</v>
      </c>
    </row>
    <row r="2351" spans="1:8" ht="15.75" x14ac:dyDescent="0.2">
      <c r="A2351" s="150"/>
      <c r="B2351" s="141"/>
      <c r="C2351" s="141"/>
      <c r="D2351" s="141"/>
      <c r="E2351" s="141"/>
      <c r="F2351" s="147"/>
      <c r="G2351" s="147"/>
      <c r="H2351" s="315"/>
    </row>
    <row r="2352" spans="1:8" ht="18.75" x14ac:dyDescent="0.2">
      <c r="A2352" s="132" t="s">
        <v>37</v>
      </c>
      <c r="B2352" s="161"/>
      <c r="C2352" s="161"/>
      <c r="D2352" s="141"/>
      <c r="E2352" s="171"/>
      <c r="F2352" s="134">
        <f>F15+F490+F593+F738+F1154+F1163+F1753+F1959+F1988+F2149+F2301</f>
        <v>16043655.099440003</v>
      </c>
      <c r="G2352" s="134">
        <f>G15+G490+G593+G738+G1154+G1163+G1753+G1959+G1988+G2149+G2301</f>
        <v>15405481.414430002</v>
      </c>
      <c r="H2352" s="298">
        <f t="shared" si="602"/>
        <v>96.022267487959923</v>
      </c>
    </row>
    <row r="2353" spans="1:8" ht="15.75" x14ac:dyDescent="0.2">
      <c r="A2353" s="316"/>
      <c r="B2353" s="317"/>
      <c r="C2353" s="317"/>
      <c r="D2353" s="318"/>
      <c r="E2353" s="319"/>
      <c r="F2353" s="320"/>
      <c r="G2353" s="320"/>
      <c r="H2353" s="321"/>
    </row>
    <row r="2354" spans="1:8" ht="15.75" x14ac:dyDescent="0.2">
      <c r="A2354" s="322"/>
      <c r="B2354" s="323"/>
      <c r="C2354" s="323"/>
      <c r="D2354" s="324"/>
      <c r="E2354" s="325"/>
      <c r="F2354" s="326"/>
      <c r="G2354" s="326"/>
      <c r="H2354" s="327"/>
    </row>
    <row r="2355" spans="1:8" ht="18.75" x14ac:dyDescent="0.2">
      <c r="A2355" s="328" t="s">
        <v>62</v>
      </c>
      <c r="B2355" s="329"/>
      <c r="C2355" s="330" t="s">
        <v>63</v>
      </c>
      <c r="D2355" s="330"/>
      <c r="E2355" s="331"/>
      <c r="F2355" s="122"/>
      <c r="G2355" s="332"/>
      <c r="H2355" s="333"/>
    </row>
    <row r="2356" spans="1:8" x14ac:dyDescent="0.2">
      <c r="A2356" s="334"/>
      <c r="B2356" s="120"/>
      <c r="C2356" s="120"/>
      <c r="D2356" s="335"/>
      <c r="E2356" s="331"/>
      <c r="F2356" s="122"/>
      <c r="G2356" s="122"/>
      <c r="H2356" s="336"/>
    </row>
    <row r="2357" spans="1:8" s="82" customFormat="1" ht="18.75" hidden="1" x14ac:dyDescent="0.2">
      <c r="A2357" s="80"/>
      <c r="B2357" s="69"/>
      <c r="C2357" s="69"/>
      <c r="D2357" s="81"/>
      <c r="F2357" s="95"/>
      <c r="G2357" s="95"/>
      <c r="H2357" s="106"/>
    </row>
    <row r="2358" spans="1:8" s="82" customFormat="1" ht="18.75" hidden="1" x14ac:dyDescent="0.2">
      <c r="A2358" s="80"/>
      <c r="B2358" s="69"/>
      <c r="C2358" s="69"/>
      <c r="D2358" s="81"/>
      <c r="E2358" s="61" t="s">
        <v>539</v>
      </c>
      <c r="F2358" s="95">
        <v>16043655.099440001</v>
      </c>
      <c r="G2358" s="113">
        <v>15405481.41443</v>
      </c>
      <c r="H2358" s="106"/>
    </row>
    <row r="2359" spans="1:8" s="82" customFormat="1" hidden="1" x14ac:dyDescent="0.2">
      <c r="F2359" s="96">
        <f>F2358-F2352</f>
        <v>0</v>
      </c>
      <c r="G2359" s="96">
        <f t="shared" ref="G2359" si="605">G2358-G2352</f>
        <v>0</v>
      </c>
      <c r="H2359" s="114"/>
    </row>
    <row r="2360" spans="1:8" s="82" customFormat="1" hidden="1" x14ac:dyDescent="0.2">
      <c r="H2360" s="114"/>
    </row>
    <row r="2361" spans="1:8" s="82" customFormat="1" hidden="1" x14ac:dyDescent="0.2">
      <c r="F2361" s="96"/>
      <c r="H2361" s="114"/>
    </row>
    <row r="2362" spans="1:8" s="82" customFormat="1" hidden="1" x14ac:dyDescent="0.2">
      <c r="H2362" s="114"/>
    </row>
    <row r="2363" spans="1:8" x14ac:dyDescent="0.2">
      <c r="F2363" s="337"/>
    </row>
  </sheetData>
  <autoFilter ref="A14:H2356" xr:uid="{00000000-0009-0000-0000-000000000000}">
    <filterColumn colId="4">
      <filters blank="1">
        <filter val="100"/>
        <filter val="110"/>
        <filter val="120"/>
        <filter val="200"/>
        <filter val="240"/>
        <filter val="300"/>
        <filter val="310"/>
        <filter val="320"/>
        <filter val="330"/>
        <filter val="350"/>
        <filter val="360"/>
        <filter val="400"/>
        <filter val="410"/>
        <filter val="600"/>
        <filter val="610"/>
        <filter val="620"/>
        <filter val="630"/>
        <filter val="800"/>
        <filter val="810"/>
        <filter val="830"/>
        <filter val="850"/>
        <filter val="870"/>
      </filters>
    </filterColumn>
  </autoFilter>
  <customSheetViews>
    <customSheetView guid="{01A7873C-D541-4649-8BBD-3EB5FC7C8EC5}" scale="85" showPageBreaks="1" fitToPage="1" printArea="1" showAutoFilter="1" hiddenRows="1" hiddenColumns="1" view="pageBreakPreview">
      <selection activeCell="A22" sqref="A22"/>
      <pageMargins left="0.39370078740157483" right="0.39370078740157483" top="0.39370078740157483" bottom="0.39370078740157483" header="0.31496062992125984" footer="0.31496062992125984"/>
      <pageSetup paperSize="9" scale="50" fitToHeight="0" orientation="portrait" r:id="rId1"/>
      <headerFooter>
        <oddFooter>&amp;R&amp;P</oddFooter>
      </headerFooter>
      <autoFilter ref="A11:AD2795" xr:uid="{00000000-0000-0000-0000-000000000000}"/>
    </customSheetView>
    <customSheetView guid="{188C5953-28B4-4740-8334-673DC4D63A13}" scale="85" showPageBreaks="1" fitToPage="1" printArea="1" showAutoFilter="1" hiddenRows="1" hiddenColumns="1" view="pageBreakPreview">
      <pane xSplit="1" ySplit="11" topLeftCell="B12" activePane="bottomRight" state="frozen"/>
      <selection pane="bottomRight" activeCell="F276" sqref="F276:F2793"/>
      <pageMargins left="0.70866141732283472" right="0.70866141732283472" top="0.74803149606299213" bottom="0.74803149606299213" header="0.31496062992125984" footer="0.31496062992125984"/>
      <pageSetup paperSize="9" scale="69" fitToHeight="0" orientation="landscape" r:id="rId2"/>
      <autoFilter ref="A11:T2792" xr:uid="{00000000-0000-0000-0000-000000000000}"/>
    </customSheetView>
    <customSheetView guid="{A2BF75DD-8F41-4EE5-932E-C11A36B4E2C5}" scale="87" showPageBreaks="1" fitToPage="1" printArea="1" showAutoFilter="1" hiddenRows="1" hiddenColumns="1" view="pageBreakPreview">
      <pane xSplit="1" ySplit="11" topLeftCell="B1570" activePane="bottomRight" state="frozen"/>
      <selection pane="bottomRight" activeCell="F1577" sqref="F1577:H1577"/>
      <pageMargins left="0.7" right="0.7" top="0.75" bottom="0.75" header="0.3" footer="0.3"/>
      <pageSetup paperSize="9" scale="46" fitToHeight="0" orientation="portrait" r:id="rId3"/>
      <autoFilter ref="A11:T2781" xr:uid="{00000000-0000-0000-0000-000000000000}"/>
    </customSheetView>
    <customSheetView guid="{4FC0545B-5AF3-4A63-A669-FAFE92A1ED55}" scale="85" showPageBreaks="1" fitToPage="1" printArea="1" showAutoFilter="1" hiddenRows="1" hiddenColumns="1" view="pageBreakPreview">
      <pane xSplit="1" ySplit="11" topLeftCell="B1377" activePane="bottomRight" state="frozen"/>
      <selection pane="bottomRight" activeCell="Z1392" sqref="Z1392"/>
      <pageMargins left="0.7" right="0.7" top="0.75" bottom="0.75" header="0.3" footer="0.3"/>
      <pageSetup paperSize="9" scale="46" fitToHeight="0" orientation="portrait" r:id="rId4"/>
      <autoFilter ref="A11:T2780" xr:uid="{00000000-0000-0000-0000-000000000000}"/>
    </customSheetView>
    <customSheetView guid="{56FDA626-E41A-4C8B-9A01-3270E26AA34B}" scale="85" showPageBreaks="1" fitToPage="1" printArea="1" showAutoFilter="1" hiddenRows="1" hiddenColumns="1" view="pageBreakPreview">
      <pane xSplit="1" ySplit="11" topLeftCell="B2683" activePane="bottomRight" state="frozen"/>
      <selection pane="bottomRight" activeCell="T403" sqref="T403"/>
      <pageMargins left="0.7" right="0.7" top="0.75" bottom="0.75" header="0.3" footer="0.3"/>
      <pageSetup paperSize="9" scale="46" fitToHeight="0" orientation="portrait" r:id="rId5"/>
      <autoFilter ref="A11:T2707" xr:uid="{00000000-0000-0000-0000-000000000000}"/>
    </customSheetView>
    <customSheetView guid="{425CBCF6-9F67-4BFC-9889-B4CF5F9DB7E2}" scale="85" showPageBreaks="1" fitToPage="1" printArea="1" showAutoFilter="1" hiddenRows="1" hiddenColumns="1" view="pageBreakPreview" topLeftCell="A654">
      <selection activeCell="F671" sqref="F671"/>
      <pageMargins left="0.7" right="0.7" top="0.75" bottom="0.75" header="0.3" footer="0.3"/>
      <pageSetup paperSize="9" scale="46" fitToHeight="0" orientation="portrait" r:id="rId6"/>
      <autoFilter ref="A11:T2792" xr:uid="{00000000-0000-0000-0000-000000000000}"/>
    </customSheetView>
    <customSheetView guid="{54BE171B-0496-43FE-82F5-99B7869120F9}" scale="85" showPageBreaks="1" fitToPage="1" printArea="1" showAutoFilter="1" hiddenRows="1" hiddenColumns="1" view="pageBreakPreview">
      <pane xSplit="1" ySplit="11" topLeftCell="H2323" activePane="bottomRight" state="frozen"/>
      <selection pane="bottomRight" activeCell="Y2329" sqref="Y2329"/>
      <pageMargins left="0.7" right="0.7" top="0.75" bottom="0.75" header="0.3" footer="0.3"/>
      <pageSetup paperSize="9" scale="46" fitToHeight="0" orientation="portrait" r:id="rId7"/>
      <autoFilter ref="A11:T2792" xr:uid="{00000000-0000-0000-0000-000000000000}"/>
    </customSheetView>
    <customSheetView guid="{74329988-B3A7-477F-9379-9C09487AC740}" scale="85" showPageBreaks="1" fitToPage="1" printArea="1" showAutoFilter="1" hiddenRows="1" hiddenColumns="1" view="pageBreakPreview">
      <pane ySplit="9" topLeftCell="A895" activePane="bottomLeft" state="frozen"/>
      <selection pane="bottomLeft" activeCell="F910" sqref="F910"/>
      <pageMargins left="0.7" right="0.7" top="0.75" bottom="0.75" header="0.3" footer="0.3"/>
      <pageSetup paperSize="9" scale="46" fitToHeight="0" orientation="portrait" r:id="rId8"/>
      <autoFilter ref="A11:T2792" xr:uid="{00000000-0000-0000-0000-000000000000}"/>
    </customSheetView>
  </customSheetViews>
  <mergeCells count="1">
    <mergeCell ref="A2:H2"/>
  </mergeCells>
  <phoneticPr fontId="30" type="noConversion"/>
  <pageMargins left="0.39370078740157483" right="0.39370078740157483" top="0.39370078740157483" bottom="0.39370078740157483" header="0.31496062992125984" footer="0.31496062992125984"/>
  <pageSetup paperSize="9" scale="50" fitToHeight="0" orientation="portrait" r:id="rId9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Никифорова Ирина Анатольевна</cp:lastModifiedBy>
  <cp:lastPrinted>2020-05-20T09:51:05Z</cp:lastPrinted>
  <dcterms:created xsi:type="dcterms:W3CDTF">2007-08-15T05:41:05Z</dcterms:created>
  <dcterms:modified xsi:type="dcterms:W3CDTF">2020-05-20T09:51:23Z</dcterms:modified>
</cp:coreProperties>
</file>